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2"/>
  </bookViews>
  <sheets>
    <sheet name="2014-15" sheetId="1" r:id="rId1"/>
    <sheet name="2015-16" sheetId="2" r:id="rId2"/>
    <sheet name="2016-17" sheetId="3" r:id="rId3"/>
    <sheet name="2017-18" sheetId="4" r:id="rId4"/>
    <sheet name="Sheet1" sheetId="5" r:id="rId5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'2014-15'!$A$1:$O$104</definedName>
    <definedName name="_xlnm.Print_Area" localSheetId="1">'2015-16'!$A$1:$M$103</definedName>
    <definedName name="_xlnm.Print_Area" localSheetId="2">'2016-17'!$A$1:$M$103</definedName>
    <definedName name="_xlnm.Print_Area" localSheetId="3">'2017-18'!$A$1:$M$103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<sst xmlns="http://schemas.openxmlformats.org/spreadsheetml/2006/main" count="488" uniqueCount="117">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</sst>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171" fontId="0" fillId="33" borderId="17" xfId="0" applyNumberFormat="1" applyFont="1" applyFill="1" applyBorder="1" applyAlignment="1">
      <alignment vertical="top" wrapText="1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171" fontId="0" fillId="35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179.3189999999999</v>
      </c>
      <c r="D5" s="25">
        <f>+D7+D14+D20</f>
        <v>567.5199999999991</v>
      </c>
      <c r="E5" s="30">
        <f>+E7+E14+E20</f>
        <v>118.506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-167</v>
      </c>
      <c r="J5" s="30">
        <f t="shared" si="0"/>
        <v>2</v>
      </c>
      <c r="K5" s="26">
        <f t="shared" si="0"/>
        <v>-513</v>
      </c>
      <c r="L5" s="30">
        <f t="shared" si="0"/>
        <v>-13</v>
      </c>
      <c r="M5" s="26">
        <f t="shared" si="0"/>
        <v>350</v>
      </c>
      <c r="N5" s="72">
        <f>+N7+N14+N20</f>
        <v>492.02599999999984</v>
      </c>
      <c r="O5" s="85">
        <f>+(N5-B5)/B5</f>
        <v>0.2674516551992406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-9.210999999999999</v>
      </c>
      <c r="D7" s="9">
        <f>+SUM(D8:D12)</f>
        <v>1629.503</v>
      </c>
      <c r="E7" s="34">
        <f>+SUM(E8:E12)</f>
        <v>54.655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1842.1580000000001</v>
      </c>
      <c r="O7" s="87">
        <f aca="true" t="shared" si="2" ref="O7:O12">+(N7-B7)/B7</f>
        <v>0.1241485701592834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>
        <v>1.266</v>
      </c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13.831999999999999</v>
      </c>
      <c r="O8" s="88">
        <f t="shared" si="2"/>
        <v>-0.45896894312759134</v>
      </c>
    </row>
    <row r="9" spans="1:15" ht="12.75">
      <c r="A9" s="2" t="s">
        <v>44</v>
      </c>
      <c r="B9" s="73">
        <v>92.614</v>
      </c>
      <c r="C9" s="36">
        <v>-25.03</v>
      </c>
      <c r="D9" s="12">
        <f>B9+C9</f>
        <v>67.584</v>
      </c>
      <c r="E9" s="36">
        <v>21.631</v>
      </c>
      <c r="F9" s="13"/>
      <c r="G9" s="13"/>
      <c r="H9" s="36"/>
      <c r="I9" s="13"/>
      <c r="J9" s="36"/>
      <c r="K9" s="13"/>
      <c r="L9" s="36"/>
      <c r="M9" s="13"/>
      <c r="N9" s="73">
        <f>+D9+SUM(E9:M9)</f>
        <v>89.215</v>
      </c>
      <c r="O9" s="88">
        <f t="shared" si="2"/>
        <v>-0.036700714794739464</v>
      </c>
    </row>
    <row r="10" spans="1:15" ht="12.75">
      <c r="A10" s="2" t="s">
        <v>68</v>
      </c>
      <c r="B10" s="73">
        <v>512.2</v>
      </c>
      <c r="C10" s="36">
        <v>20.978</v>
      </c>
      <c r="D10" s="12">
        <f>B10+C10</f>
        <v>533.178</v>
      </c>
      <c r="E10" s="36">
        <v>12.639</v>
      </c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607.817</v>
      </c>
      <c r="O10" s="88">
        <f t="shared" si="2"/>
        <v>0.18667903162827013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>
        <v>3.201</v>
      </c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-28.173</v>
      </c>
      <c r="O11" s="88">
        <f t="shared" si="2"/>
        <v>-0.10202715624402374</v>
      </c>
    </row>
    <row r="12" spans="1:15" ht="12.75">
      <c r="A12" s="2" t="s">
        <v>61</v>
      </c>
      <c r="B12" s="73">
        <v>1039.708</v>
      </c>
      <c r="C12" s="36">
        <v>-5.159</v>
      </c>
      <c r="D12" s="12">
        <f>B12+C12</f>
        <v>1034.549</v>
      </c>
      <c r="E12" s="36">
        <v>15.918</v>
      </c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1159.467</v>
      </c>
      <c r="O12" s="88">
        <f t="shared" si="2"/>
        <v>0.115185225082427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-258.01000000000005</v>
      </c>
      <c r="D14" s="9">
        <f>+SUM(D15:D18)</f>
        <v>-4973.8150000000005</v>
      </c>
      <c r="E14" s="33">
        <f>+SUM(E15:E18)</f>
        <v>13.953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-5226.862</v>
      </c>
      <c r="O14" s="87">
        <f>+(N14-B14)/B14</f>
        <v>0.10837110525138333</v>
      </c>
    </row>
    <row r="15" spans="1:15" ht="12.75">
      <c r="A15" s="4" t="s">
        <v>62</v>
      </c>
      <c r="B15" s="38">
        <v>-5805.926</v>
      </c>
      <c r="C15" s="39">
        <v>-364.187</v>
      </c>
      <c r="D15" s="12">
        <f>B15+C15</f>
        <v>-6170.113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-6487.113</v>
      </c>
      <c r="O15" s="88">
        <f>+(N15-B15)/B15</f>
        <v>0.11732615951357284</v>
      </c>
    </row>
    <row r="16" spans="1:15" ht="12.75">
      <c r="A16" s="4" t="s">
        <v>63</v>
      </c>
      <c r="B16" s="38">
        <v>479.877</v>
      </c>
      <c r="C16" s="39">
        <v>7.662</v>
      </c>
      <c r="D16" s="12">
        <f>B16+C16</f>
        <v>487.539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487.539</v>
      </c>
      <c r="O16" s="88">
        <f>+(N16-B16)/B16</f>
        <v>0.01596659143905621</v>
      </c>
    </row>
    <row r="17" spans="1:15" ht="12.75">
      <c r="A17" s="4" t="s">
        <v>64</v>
      </c>
      <c r="B17" s="38">
        <v>306.045</v>
      </c>
      <c r="C17" s="39"/>
      <c r="D17" s="12">
        <f>B17+C17</f>
        <v>306.045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306.045</v>
      </c>
      <c r="O17" s="88">
        <f>+(N17-B17)/B17</f>
        <v>0</v>
      </c>
    </row>
    <row r="18" spans="1:15" ht="12.75">
      <c r="A18" s="4" t="s">
        <v>68</v>
      </c>
      <c r="B18" s="38">
        <v>304.199</v>
      </c>
      <c r="C18" s="39">
        <v>98.515</v>
      </c>
      <c r="D18" s="12">
        <f>B18+C18</f>
        <v>402.714</v>
      </c>
      <c r="E18" s="39">
        <v>13.953</v>
      </c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466.66700000000003</v>
      </c>
      <c r="O18" s="88">
        <f>+(N18-B18)/B18</f>
        <v>0.5340845959388427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446.53999999999996</v>
      </c>
      <c r="D20" s="9">
        <f>+SUM(D21:D23)</f>
        <v>3911.832</v>
      </c>
      <c r="E20" s="33">
        <f>+SUM(E21:E23)</f>
        <v>49.897999999999996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-89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33">
        <f t="shared" si="4"/>
        <v>0</v>
      </c>
      <c r="N20" s="9">
        <f>+SUM(N21:N23)</f>
        <v>3876.7299999999996</v>
      </c>
      <c r="O20" s="87">
        <f>+(N20-B20)/B20</f>
        <v>0.11873111991716706</v>
      </c>
    </row>
    <row r="21" spans="1:15" ht="12.75">
      <c r="A21" s="3" t="s">
        <v>17</v>
      </c>
      <c r="B21" s="38">
        <v>585.119</v>
      </c>
      <c r="C21" s="39">
        <v>61.937</v>
      </c>
      <c r="D21" s="12">
        <f>B21+C21</f>
        <v>647.056</v>
      </c>
      <c r="E21" s="39">
        <v>6.979</v>
      </c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649.0350000000001</v>
      </c>
      <c r="O21" s="88">
        <f>+(N21-B21)/B21</f>
        <v>0.10923589902225025</v>
      </c>
    </row>
    <row r="22" spans="1:15" ht="12.75">
      <c r="A22" s="3" t="s">
        <v>18</v>
      </c>
      <c r="B22" s="38">
        <v>2872.687</v>
      </c>
      <c r="C22" s="39">
        <v>930.819</v>
      </c>
      <c r="D22" s="12">
        <f>B22+C22</f>
        <v>3803.506</v>
      </c>
      <c r="E22" s="39">
        <v>34.601</v>
      </c>
      <c r="F22" s="15"/>
      <c r="G22" s="15"/>
      <c r="H22" s="39"/>
      <c r="I22" s="15">
        <f>-36+-10+-36</f>
        <v>-82</v>
      </c>
      <c r="J22" s="39"/>
      <c r="K22" s="15"/>
      <c r="L22" s="39"/>
      <c r="M22" s="15"/>
      <c r="N22" s="73">
        <f>+D22+SUM(E22:M22)</f>
        <v>3756.107</v>
      </c>
      <c r="O22" s="88">
        <f>+(N22-B22)/B22</f>
        <v>0.3075239314272666</v>
      </c>
    </row>
    <row r="23" spans="1:15" ht="12.75">
      <c r="A23" s="3" t="s">
        <v>106</v>
      </c>
      <c r="B23" s="38">
        <v>7.486</v>
      </c>
      <c r="C23" s="39">
        <v>-546.216</v>
      </c>
      <c r="D23" s="12">
        <f>B23+C23</f>
        <v>-538.73</v>
      </c>
      <c r="E23" s="39">
        <v>8.318</v>
      </c>
      <c r="F23" s="15"/>
      <c r="G23" s="15"/>
      <c r="H23" s="39">
        <v>4</v>
      </c>
      <c r="I23" s="15">
        <v>-2</v>
      </c>
      <c r="J23" s="39"/>
      <c r="K23" s="15"/>
      <c r="L23" s="39"/>
      <c r="M23" s="15"/>
      <c r="N23" s="73">
        <f>+D23+SUM(E23:M23)</f>
        <v>-528.412</v>
      </c>
      <c r="O23" s="88">
        <f>+(N23-B23)/B23</f>
        <v>-71.58669516430672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15.75">
      <c r="A25" s="57" t="s">
        <v>75</v>
      </c>
      <c r="B25" s="72">
        <f aca="true" t="shared" si="5" ref="B25:N25">+B27+B34+B41+B48+B55</f>
        <v>5015.642</v>
      </c>
      <c r="C25" s="30">
        <f t="shared" si="5"/>
        <v>423.639</v>
      </c>
      <c r="D25" s="25">
        <f t="shared" si="5"/>
        <v>5439.281</v>
      </c>
      <c r="E25" s="30">
        <f t="shared" si="5"/>
        <v>231.24199999999996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390</v>
      </c>
      <c r="N25" s="72">
        <f t="shared" si="5"/>
        <v>6188.522999999999</v>
      </c>
      <c r="O25" s="85">
        <f>+(N25-B25)/B25</f>
        <v>0.2338446404268884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31.782999999999998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264.52299999999997</v>
      </c>
      <c r="O27" s="87">
        <f aca="true" t="shared" si="7" ref="O27:O32">+(N27-B27)/B27</f>
        <v>0.010648133997615834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>
        <v>20.572</v>
      </c>
      <c r="F28" s="15"/>
      <c r="G28" s="15"/>
      <c r="H28" s="39"/>
      <c r="I28" s="15"/>
      <c r="J28" s="39"/>
      <c r="K28" s="15"/>
      <c r="L28" s="39"/>
      <c r="M28" s="15"/>
      <c r="N28" s="73">
        <f>+D28+SUM(E28:M28)</f>
        <v>43.009</v>
      </c>
      <c r="O28" s="88">
        <f t="shared" si="7"/>
        <v>1.6165967025612944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>
        <v>5.261</v>
      </c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176.77999999999997</v>
      </c>
      <c r="O31" s="88">
        <f t="shared" si="7"/>
        <v>0.01588943481883738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>
        <v>5.95</v>
      </c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-11.613</v>
      </c>
      <c r="O32" s="88">
        <f t="shared" si="7"/>
        <v>-2.5615167406212183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361.586</v>
      </c>
      <c r="D34" s="9">
        <f t="shared" si="8"/>
        <v>1064.557</v>
      </c>
      <c r="E34" s="33">
        <f t="shared" si="8"/>
        <v>31.332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150</v>
      </c>
      <c r="N34" s="32">
        <f t="shared" si="9"/>
        <v>1258.8890000000001</v>
      </c>
      <c r="O34" s="87">
        <f aca="true" t="shared" si="10" ref="O34:O39">+(N34-B34)/B34</f>
        <v>0.7908121387653262</v>
      </c>
    </row>
    <row r="35" spans="1:15" ht="12.75">
      <c r="A35" s="99" t="s">
        <v>94</v>
      </c>
      <c r="B35" s="38">
        <v>44.109</v>
      </c>
      <c r="C35" s="39">
        <v>-28.854</v>
      </c>
      <c r="D35" s="12">
        <f>B35+C35</f>
        <v>15.255000000000003</v>
      </c>
      <c r="E35" s="39">
        <v>4.22</v>
      </c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-16.525</v>
      </c>
      <c r="O35" s="88">
        <f t="shared" si="10"/>
        <v>-1.3746400961255072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>
        <v>150</v>
      </c>
      <c r="N36" s="73">
        <f>+D36+SUM(E36:M36)</f>
        <v>535.434</v>
      </c>
      <c r="O36" s="88">
        <f t="shared" si="10"/>
        <v>0.3938838573299213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0.731</v>
      </c>
      <c r="D38" s="12">
        <f>B38+C38</f>
        <v>54.842</v>
      </c>
      <c r="E38" s="39">
        <v>6.166</v>
      </c>
      <c r="F38" s="15"/>
      <c r="G38" s="15"/>
      <c r="H38" s="39"/>
      <c r="I38" s="15"/>
      <c r="J38" s="39"/>
      <c r="K38" s="15"/>
      <c r="L38" s="39"/>
      <c r="M38" s="15"/>
      <c r="N38" s="73">
        <f>+D38+SUM(E38:M38)</f>
        <v>61.007999999999996</v>
      </c>
      <c r="O38" s="88">
        <f t="shared" si="10"/>
        <v>0.12746022065753726</v>
      </c>
    </row>
    <row r="39" spans="1:15" ht="12.75">
      <c r="A39" s="3" t="s">
        <v>77</v>
      </c>
      <c r="B39" s="38">
        <v>310.014</v>
      </c>
      <c r="C39" s="39">
        <v>389.76</v>
      </c>
      <c r="D39" s="12">
        <f>B39+C39</f>
        <v>699.774</v>
      </c>
      <c r="E39" s="39">
        <v>20.946</v>
      </c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769.72</v>
      </c>
      <c r="O39" s="88">
        <f t="shared" si="10"/>
        <v>1.4828556129723174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93.197</v>
      </c>
      <c r="D41" s="9">
        <f>+SUM(D42:D46)</f>
        <v>3499.154</v>
      </c>
      <c r="E41" s="33">
        <f>+SUM(E42:E46)</f>
        <v>80.253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3703.4069999999997</v>
      </c>
      <c r="O41" s="87">
        <f aca="true" t="shared" si="12" ref="O41:O46">+(N41-B41)/B41</f>
        <v>0.0873322828209516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>
        <v>39.189</v>
      </c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86.506</v>
      </c>
      <c r="O43" s="88">
        <f t="shared" si="12"/>
        <v>1.3181391858938285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>
        <v>12.066</v>
      </c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1174.7269999999999</v>
      </c>
      <c r="O44" s="88">
        <f t="shared" si="12"/>
        <v>0.054833562457516284</v>
      </c>
    </row>
    <row r="45" spans="1:15" ht="12.75">
      <c r="A45" s="3" t="s">
        <v>53</v>
      </c>
      <c r="B45" s="38">
        <v>2205.114</v>
      </c>
      <c r="C45" s="39">
        <f>41.151+52.046</f>
        <v>93.197</v>
      </c>
      <c r="D45" s="12">
        <f>B45+C45</f>
        <v>2298.311</v>
      </c>
      <c r="E45" s="39">
        <f>26.589+2.409</f>
        <v>28.997999999999998</v>
      </c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2412.309</v>
      </c>
      <c r="O45" s="88">
        <f t="shared" si="12"/>
        <v>0.09396112854029323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88"/>
      <c r="P47" s="105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-30.477999999999994</v>
      </c>
      <c r="D48" s="9">
        <f t="shared" si="13"/>
        <v>262.488</v>
      </c>
      <c r="E48" s="34">
        <f t="shared" si="13"/>
        <v>46.846999999999994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205</v>
      </c>
      <c r="N48" s="32">
        <f t="shared" si="14"/>
        <v>527.335</v>
      </c>
      <c r="O48" s="87">
        <f aca="true" t="shared" si="15" ref="O48:O53">+(N48-B48)/B48</f>
        <v>0.7999870292115809</v>
      </c>
    </row>
    <row r="49" spans="1:15" ht="12.75">
      <c r="A49" s="2" t="s">
        <v>81</v>
      </c>
      <c r="B49" s="38">
        <v>219.356</v>
      </c>
      <c r="C49" s="39">
        <v>-77.327</v>
      </c>
      <c r="D49" s="12">
        <f>B49+C49</f>
        <v>142.029</v>
      </c>
      <c r="E49" s="39">
        <v>17.593</v>
      </c>
      <c r="F49" s="15"/>
      <c r="G49" s="15"/>
      <c r="H49" s="39">
        <v>-25</v>
      </c>
      <c r="I49" s="15"/>
      <c r="J49" s="39"/>
      <c r="K49" s="15">
        <v>-20</v>
      </c>
      <c r="L49" s="39"/>
      <c r="M49" s="15">
        <f>5+75</f>
        <v>80</v>
      </c>
      <c r="N49" s="73">
        <f>+D49+SUM(E49:M49)</f>
        <v>194.622</v>
      </c>
      <c r="O49" s="88">
        <f t="shared" si="15"/>
        <v>-0.1127573442258246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4.706</v>
      </c>
      <c r="D51" s="12">
        <f>B51+C51</f>
        <v>-50.717</v>
      </c>
      <c r="E51" s="39">
        <v>3.976</v>
      </c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>
        <v>100</v>
      </c>
      <c r="N51" s="73">
        <f>+D51+SUM(E51:M51)</f>
        <v>53.259</v>
      </c>
      <c r="O51" s="88">
        <f t="shared" si="15"/>
        <v>-1.9609548382440503</v>
      </c>
    </row>
    <row r="52" spans="1:15" ht="12.75">
      <c r="A52" s="2" t="s">
        <v>38</v>
      </c>
      <c r="B52" s="38">
        <v>4.587</v>
      </c>
      <c r="C52" s="39">
        <v>108.889</v>
      </c>
      <c r="D52" s="12">
        <f>B52+C52</f>
        <v>113.476</v>
      </c>
      <c r="E52" s="39">
        <v>6.427</v>
      </c>
      <c r="F52" s="15"/>
      <c r="G52" s="15"/>
      <c r="H52" s="39"/>
      <c r="I52" s="15"/>
      <c r="J52" s="39"/>
      <c r="K52" s="15"/>
      <c r="L52" s="39"/>
      <c r="M52" s="15"/>
      <c r="N52" s="73">
        <f>+D52+SUM(E52:M52)</f>
        <v>119.90299999999999</v>
      </c>
      <c r="O52" s="88">
        <f t="shared" si="15"/>
        <v>25.139742751253543</v>
      </c>
    </row>
    <row r="53" spans="1:15" ht="12.75">
      <c r="A53" s="20" t="s">
        <v>83</v>
      </c>
      <c r="B53" s="38">
        <v>124.406</v>
      </c>
      <c r="C53" s="39">
        <v>-66.746</v>
      </c>
      <c r="D53" s="12">
        <f>B53+C53</f>
        <v>57.66000000000001</v>
      </c>
      <c r="E53" s="39">
        <v>18.851</v>
      </c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159.51100000000002</v>
      </c>
      <c r="O53" s="88">
        <f t="shared" si="15"/>
        <v>0.28218092374965853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-0.6699999999999999</v>
      </c>
      <c r="D55" s="9">
        <f>+SUM(D56:D61)</f>
        <v>351.342</v>
      </c>
      <c r="E55" s="34">
        <f>+SUM(E56:E61)</f>
        <v>41.027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434.36899999999997</v>
      </c>
      <c r="O55" s="87">
        <f>+(N55-B55)/B55</f>
        <v>0.23396077406452045</v>
      </c>
    </row>
    <row r="56" spans="1:15" ht="12.75">
      <c r="A56" s="3" t="s">
        <v>1</v>
      </c>
      <c r="B56" s="38">
        <v>2.104</v>
      </c>
      <c r="C56" s="39">
        <v>0.29</v>
      </c>
      <c r="D56" s="12">
        <f aca="true" t="shared" si="17" ref="D56:D61">B56+C56</f>
        <v>2.394</v>
      </c>
      <c r="E56" s="39">
        <v>4.052</v>
      </c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3.4459999999999997</v>
      </c>
      <c r="O56" s="88">
        <f aca="true" t="shared" si="19" ref="O56:O61">+(N56-B56)/B56</f>
        <v>0.6378326996197716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>
        <v>2.731</v>
      </c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218.712</v>
      </c>
      <c r="O57" s="88">
        <f t="shared" si="19"/>
        <v>0.012644630777707274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>
        <v>16.937</v>
      </c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180.921</v>
      </c>
      <c r="O58" s="88">
        <f>+(N58-B58)/B58</f>
        <v>0.5205489813756472</v>
      </c>
    </row>
    <row r="59" spans="1:15" ht="12.75">
      <c r="A59" s="3" t="s">
        <v>49</v>
      </c>
      <c r="B59" s="38">
        <v>2.7</v>
      </c>
      <c r="C59" s="39">
        <v>-0.098</v>
      </c>
      <c r="D59" s="12">
        <f t="shared" si="17"/>
        <v>2.6020000000000003</v>
      </c>
      <c r="E59" s="39">
        <v>1.862</v>
      </c>
      <c r="F59" s="15"/>
      <c r="G59" s="15"/>
      <c r="H59" s="39"/>
      <c r="I59" s="15"/>
      <c r="J59" s="39"/>
      <c r="K59" s="15"/>
      <c r="L59" s="39"/>
      <c r="M59" s="15"/>
      <c r="N59" s="73">
        <f t="shared" si="18"/>
        <v>4.464</v>
      </c>
      <c r="O59" s="88">
        <f t="shared" si="19"/>
        <v>0.6533333333333334</v>
      </c>
    </row>
    <row r="60" spans="1:15" ht="12.75">
      <c r="A60" s="3" t="s">
        <v>50</v>
      </c>
      <c r="B60" s="38">
        <v>0.29</v>
      </c>
      <c r="C60" s="39">
        <v>-0.29</v>
      </c>
      <c r="D60" s="12">
        <f t="shared" si="17"/>
        <v>0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</v>
      </c>
      <c r="O60" s="88">
        <f t="shared" si="19"/>
        <v>-1</v>
      </c>
    </row>
    <row r="61" spans="1:15" ht="12.75">
      <c r="A61" s="3" t="s">
        <v>51</v>
      </c>
      <c r="B61" s="38">
        <v>11.953</v>
      </c>
      <c r="C61" s="39">
        <v>-0.572</v>
      </c>
      <c r="D61" s="12">
        <f t="shared" si="17"/>
        <v>11.381</v>
      </c>
      <c r="E61" s="39">
        <v>15.445</v>
      </c>
      <c r="F61" s="15"/>
      <c r="G61" s="15"/>
      <c r="H61" s="39"/>
      <c r="I61" s="15"/>
      <c r="J61" s="39"/>
      <c r="K61" s="15"/>
      <c r="L61" s="39"/>
      <c r="M61" s="15"/>
      <c r="N61" s="73">
        <f t="shared" si="18"/>
        <v>26.826</v>
      </c>
      <c r="O61" s="88">
        <f t="shared" si="19"/>
        <v>1.2442901363674392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-338.16800000000006</v>
      </c>
      <c r="D63" s="25">
        <f t="shared" si="20"/>
        <v>14155.202000000001</v>
      </c>
      <c r="E63" s="26">
        <f t="shared" si="20"/>
        <v>412.063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-390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220</v>
      </c>
      <c r="N63" s="25">
        <f t="shared" si="20"/>
        <v>14139.264999999998</v>
      </c>
      <c r="O63" s="85">
        <f>+(N63-B63)/B63</f>
        <v>-0.024432205898283366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-4.650999999999982</v>
      </c>
      <c r="D65" s="9">
        <f t="shared" si="21"/>
        <v>2957.284</v>
      </c>
      <c r="E65" s="33">
        <f t="shared" si="21"/>
        <v>73.348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2834.6319999999996</v>
      </c>
      <c r="O65" s="87">
        <f aca="true" t="shared" si="22" ref="O65:O70">+(N65-B65)/B65</f>
        <v>-0.04297967376056527</v>
      </c>
    </row>
    <row r="66" spans="1:15" ht="12.75">
      <c r="A66" s="2" t="s">
        <v>96</v>
      </c>
      <c r="B66" s="38">
        <v>629.319</v>
      </c>
      <c r="C66" s="39">
        <v>196.244</v>
      </c>
      <c r="D66" s="12">
        <f>B66+C66</f>
        <v>825.563</v>
      </c>
      <c r="E66" s="39">
        <v>24.667</v>
      </c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797.23</v>
      </c>
      <c r="O66" s="88">
        <f t="shared" si="22"/>
        <v>0.26681380984842357</v>
      </c>
    </row>
    <row r="67" spans="1:15" ht="12.75">
      <c r="A67" s="2" t="s">
        <v>47</v>
      </c>
      <c r="B67" s="38">
        <v>604.803</v>
      </c>
      <c r="C67" s="39">
        <v>28.977</v>
      </c>
      <c r="D67" s="12">
        <f>B67+C67</f>
        <v>633.78</v>
      </c>
      <c r="E67" s="39">
        <v>10.137</v>
      </c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607.9169999999999</v>
      </c>
      <c r="O67" s="88">
        <f t="shared" si="22"/>
        <v>0.005148783984206293</v>
      </c>
    </row>
    <row r="68" spans="1:15" ht="12.75">
      <c r="A68" s="2" t="s">
        <v>97</v>
      </c>
      <c r="B68" s="38">
        <v>1423.202</v>
      </c>
      <c r="C68" s="39">
        <v>-356.558</v>
      </c>
      <c r="D68" s="12">
        <f>B68+C68</f>
        <v>1066.644</v>
      </c>
      <c r="E68" s="39">
        <v>34.453</v>
      </c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1048.097</v>
      </c>
      <c r="O68" s="88">
        <f t="shared" si="22"/>
        <v>-0.26356413214708807</v>
      </c>
    </row>
    <row r="69" spans="1:15" ht="12.75">
      <c r="A69" s="2" t="s">
        <v>105</v>
      </c>
      <c r="B69" s="38">
        <v>88.557</v>
      </c>
      <c r="C69" s="39">
        <v>126.686</v>
      </c>
      <c r="D69" s="12">
        <f>B69+C69</f>
        <v>215.243</v>
      </c>
      <c r="E69" s="39">
        <v>4.091</v>
      </c>
      <c r="F69" s="15"/>
      <c r="G69" s="15"/>
      <c r="H69" s="39"/>
      <c r="I69" s="15"/>
      <c r="J69" s="39"/>
      <c r="K69" s="15"/>
      <c r="L69" s="39"/>
      <c r="M69" s="15"/>
      <c r="N69" s="73">
        <f>+D69+SUM(E69:M69)</f>
        <v>219.334</v>
      </c>
      <c r="O69" s="88">
        <f>+(N69-B69)/B69</f>
        <v>1.47675508429599</v>
      </c>
    </row>
    <row r="70" spans="1:15" ht="12.75">
      <c r="A70" s="2" t="s">
        <v>98</v>
      </c>
      <c r="B70" s="38">
        <v>216.054</v>
      </c>
      <c r="C70" s="39">
        <v>0</v>
      </c>
      <c r="D70" s="12">
        <f>B70+C70</f>
        <v>216.054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162.054</v>
      </c>
      <c r="O70" s="88">
        <f t="shared" si="22"/>
        <v>-0.24993751562109473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-193.57000000000005</v>
      </c>
      <c r="D72" s="9">
        <f>+SUM(D73:D84)</f>
        <v>2720.731000000001</v>
      </c>
      <c r="E72" s="33">
        <f>+SUM(E73:E84)</f>
        <v>250.04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125</v>
      </c>
      <c r="N72" s="32">
        <f t="shared" si="23"/>
        <v>2879.7709999999997</v>
      </c>
      <c r="O72" s="87">
        <f>+(N72-B72)/B72</f>
        <v>-0.011848467265392662</v>
      </c>
    </row>
    <row r="73" spans="1:15" ht="12.75">
      <c r="A73" s="21" t="s">
        <v>86</v>
      </c>
      <c r="B73" s="38">
        <v>-2514.73</v>
      </c>
      <c r="C73" s="39">
        <v>-10.41</v>
      </c>
      <c r="D73" s="12">
        <f aca="true" t="shared" si="24" ref="D73:D84">B73+C73</f>
        <v>-2525.14</v>
      </c>
      <c r="E73" s="39">
        <v>3.84</v>
      </c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-2598.2999999999997</v>
      </c>
      <c r="O73" s="88">
        <f aca="true" t="shared" si="26" ref="O73:O83">+(N73-B73)/B73</f>
        <v>0.033232195901746794</v>
      </c>
    </row>
    <row r="74" spans="1:15" ht="12.75">
      <c r="A74" s="21" t="s">
        <v>87</v>
      </c>
      <c r="B74" s="38">
        <v>-111.204</v>
      </c>
      <c r="C74" s="39">
        <v>43.847</v>
      </c>
      <c r="D74" s="12">
        <f t="shared" si="24"/>
        <v>-67.357</v>
      </c>
      <c r="E74" s="39">
        <v>1.017</v>
      </c>
      <c r="F74" s="15"/>
      <c r="G74" s="15"/>
      <c r="H74" s="39"/>
      <c r="I74" s="15"/>
      <c r="J74" s="39"/>
      <c r="K74" s="15"/>
      <c r="L74" s="39"/>
      <c r="M74" s="15"/>
      <c r="N74" s="73">
        <f t="shared" si="25"/>
        <v>-66.34</v>
      </c>
      <c r="O74" s="88">
        <f t="shared" si="26"/>
        <v>-0.4034387252257112</v>
      </c>
    </row>
    <row r="75" spans="1:15" ht="12.75">
      <c r="A75" s="21" t="s">
        <v>20</v>
      </c>
      <c r="B75" s="38">
        <v>-3368.749</v>
      </c>
      <c r="C75" s="39">
        <v>18.642</v>
      </c>
      <c r="D75" s="12">
        <f t="shared" si="24"/>
        <v>-3350.107</v>
      </c>
      <c r="E75" s="39">
        <v>13.531</v>
      </c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-3634.576</v>
      </c>
      <c r="O75" s="88">
        <f>+(N75-B75)/B75</f>
        <v>0.07890970802514531</v>
      </c>
    </row>
    <row r="76" spans="1:15" ht="12.75">
      <c r="A76" s="21" t="s">
        <v>21</v>
      </c>
      <c r="B76" s="38">
        <v>3283.395</v>
      </c>
      <c r="C76" s="39">
        <v>-103.641</v>
      </c>
      <c r="D76" s="12">
        <f t="shared" si="24"/>
        <v>3179.754</v>
      </c>
      <c r="E76" s="39">
        <v>47.377</v>
      </c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3403.131</v>
      </c>
      <c r="O76" s="88">
        <f t="shared" si="26"/>
        <v>0.03646713234319961</v>
      </c>
    </row>
    <row r="77" spans="1:15" ht="12.75">
      <c r="A77" s="21" t="s">
        <v>88</v>
      </c>
      <c r="B77" s="38">
        <v>-1337.925</v>
      </c>
      <c r="C77" s="39">
        <v>238.745</v>
      </c>
      <c r="D77" s="12">
        <f t="shared" si="24"/>
        <v>-1099.1799999999998</v>
      </c>
      <c r="E77" s="39">
        <v>7.182</v>
      </c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-1129.9979999999998</v>
      </c>
      <c r="O77" s="88">
        <f t="shared" si="26"/>
        <v>-0.15541005661752352</v>
      </c>
    </row>
    <row r="78" spans="1:15" ht="12.75">
      <c r="A78" s="21" t="s">
        <v>66</v>
      </c>
      <c r="B78" s="38">
        <v>-107.373</v>
      </c>
      <c r="C78" s="39">
        <v>-19.477</v>
      </c>
      <c r="D78" s="12">
        <f t="shared" si="24"/>
        <v>-126.85000000000001</v>
      </c>
      <c r="E78" s="39">
        <v>21.908</v>
      </c>
      <c r="F78" s="15"/>
      <c r="G78" s="15">
        <v>12</v>
      </c>
      <c r="H78" s="39"/>
      <c r="I78" s="15"/>
      <c r="J78" s="39"/>
      <c r="K78" s="15">
        <v>-20</v>
      </c>
      <c r="L78" s="39"/>
      <c r="M78" s="15">
        <v>75</v>
      </c>
      <c r="N78" s="73">
        <f t="shared" si="25"/>
        <v>-37.94200000000001</v>
      </c>
      <c r="O78" s="88">
        <f t="shared" si="26"/>
        <v>-0.64663369748447</v>
      </c>
    </row>
    <row r="79" spans="1:15" ht="12.75">
      <c r="A79" s="21" t="s">
        <v>22</v>
      </c>
      <c r="B79" s="38">
        <v>4185.879</v>
      </c>
      <c r="C79" s="39">
        <v>-397.279</v>
      </c>
      <c r="D79" s="12">
        <f t="shared" si="24"/>
        <v>3788.6</v>
      </c>
      <c r="E79" s="39">
        <v>83.722</v>
      </c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3858.322</v>
      </c>
      <c r="O79" s="88">
        <f t="shared" si="26"/>
        <v>-0.07825285919635991</v>
      </c>
    </row>
    <row r="80" spans="1:15" ht="12.75">
      <c r="A80" s="21" t="s">
        <v>65</v>
      </c>
      <c r="B80" s="38">
        <v>-213.15</v>
      </c>
      <c r="C80" s="39">
        <v>-43.613</v>
      </c>
      <c r="D80" s="12">
        <f t="shared" si="24"/>
        <v>-256.76300000000003</v>
      </c>
      <c r="E80" s="39">
        <v>19.655</v>
      </c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-83.10800000000003</v>
      </c>
      <c r="O80" s="88">
        <f t="shared" si="26"/>
        <v>-0.610096176401595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>
        <v>1.75</v>
      </c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-53.421</v>
      </c>
      <c r="O81" s="88">
        <f t="shared" si="26"/>
        <v>-0.03189503633497034</v>
      </c>
    </row>
    <row r="82" spans="1:15" ht="12.75" customHeight="1">
      <c r="A82" s="21" t="s">
        <v>89</v>
      </c>
      <c r="B82" s="38">
        <v>-190.283</v>
      </c>
      <c r="C82" s="39">
        <v>-47.81</v>
      </c>
      <c r="D82" s="12">
        <f t="shared" si="24"/>
        <v>-238.093</v>
      </c>
      <c r="E82" s="39">
        <v>19.172</v>
      </c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-218.921</v>
      </c>
      <c r="O82" s="88">
        <f t="shared" si="26"/>
        <v>0.15050214680239438</v>
      </c>
    </row>
    <row r="83" spans="1:15" ht="12.75" customHeight="1">
      <c r="A83" s="21" t="s">
        <v>24</v>
      </c>
      <c r="B83" s="38">
        <v>2156.251</v>
      </c>
      <c r="C83" s="39">
        <v>146.67</v>
      </c>
      <c r="D83" s="12">
        <f t="shared" si="24"/>
        <v>2302.9210000000003</v>
      </c>
      <c r="E83" s="39">
        <v>30.748</v>
      </c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2333.6690000000003</v>
      </c>
      <c r="O83" s="88">
        <f t="shared" si="26"/>
        <v>0.08228077343500367</v>
      </c>
    </row>
    <row r="84" spans="1:15" ht="12.75" customHeight="1">
      <c r="A84" s="21" t="s">
        <v>25</v>
      </c>
      <c r="B84" s="38">
        <v>1187.371</v>
      </c>
      <c r="C84" s="39">
        <v>-19.254</v>
      </c>
      <c r="D84" s="12">
        <f t="shared" si="24"/>
        <v>1168.1170000000002</v>
      </c>
      <c r="E84" s="39">
        <v>0.138</v>
      </c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1107.255</v>
      </c>
      <c r="O84" s="88">
        <f>+(N84-B84)/B84</f>
        <v>-0.0674734350089399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-171.03000000000003</v>
      </c>
      <c r="D86" s="9">
        <f t="shared" si="27"/>
        <v>8030.529</v>
      </c>
      <c r="E86" s="11">
        <f t="shared" si="27"/>
        <v>67.14699999999999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-66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110</v>
      </c>
      <c r="N86" s="9">
        <f t="shared" si="27"/>
        <v>7953.6759999999995</v>
      </c>
      <c r="O86" s="87">
        <f>+(N86-B86)/B86</f>
        <v>-0.03022388792179631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>
        <v>5.901</v>
      </c>
      <c r="F87" s="15"/>
      <c r="G87" s="15">
        <v>12</v>
      </c>
      <c r="H87" s="39"/>
      <c r="I87" s="15">
        <f>36+-77</f>
        <v>-41</v>
      </c>
      <c r="J87" s="39"/>
      <c r="K87" s="15"/>
      <c r="L87" s="39"/>
      <c r="M87" s="15"/>
      <c r="N87" s="73">
        <f aca="true" t="shared" si="29" ref="N87:N95">+D87+SUM(E87:M87)</f>
        <v>2061.77</v>
      </c>
      <c r="O87" s="88">
        <f aca="true" t="shared" si="30" ref="O87:O95">+(N87-B87)/B87</f>
        <v>0.01350491103314804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>
        <v>4.454</v>
      </c>
      <c r="F88" s="15"/>
      <c r="G88" s="15"/>
      <c r="H88" s="39"/>
      <c r="I88" s="15"/>
      <c r="J88" s="39"/>
      <c r="K88" s="15"/>
      <c r="L88" s="39"/>
      <c r="M88" s="15"/>
      <c r="N88" s="73">
        <f t="shared" si="29"/>
        <v>90.75999999999999</v>
      </c>
      <c r="O88" s="88">
        <f t="shared" si="30"/>
        <v>0.05160707250944307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>
        <v>5.743</v>
      </c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212.068</v>
      </c>
      <c r="O89" s="88">
        <f t="shared" si="30"/>
        <v>0.11957089837872653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-13.902</v>
      </c>
      <c r="D91" s="12">
        <f t="shared" si="28"/>
        <v>64.782</v>
      </c>
      <c r="E91" s="39">
        <v>4.861</v>
      </c>
      <c r="F91" s="15"/>
      <c r="G91" s="15"/>
      <c r="H91" s="39"/>
      <c r="I91" s="15"/>
      <c r="J91" s="39"/>
      <c r="K91" s="15"/>
      <c r="L91" s="39"/>
      <c r="M91" s="15"/>
      <c r="N91" s="73">
        <f t="shared" si="29"/>
        <v>69.643</v>
      </c>
      <c r="O91" s="88">
        <f t="shared" si="30"/>
        <v>-0.11490264856895935</v>
      </c>
    </row>
    <row r="92" spans="1:15" ht="12.75">
      <c r="A92" s="4" t="s">
        <v>59</v>
      </c>
      <c r="B92" s="38">
        <v>155.916</v>
      </c>
      <c r="C92" s="39">
        <v>-1.638</v>
      </c>
      <c r="D92" s="12">
        <f t="shared" si="28"/>
        <v>154.278</v>
      </c>
      <c r="E92" s="39">
        <v>1.242</v>
      </c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145.51999999999998</v>
      </c>
      <c r="O92" s="88">
        <f t="shared" si="30"/>
        <v>-0.06667692860258097</v>
      </c>
    </row>
    <row r="93" spans="1:15" ht="12.75">
      <c r="A93" s="4" t="s">
        <v>60</v>
      </c>
      <c r="B93" s="38">
        <v>2122.468</v>
      </c>
      <c r="C93" s="39">
        <v>-244.907</v>
      </c>
      <c r="D93" s="12">
        <f t="shared" si="28"/>
        <v>1877.561</v>
      </c>
      <c r="E93" s="39">
        <v>22.944</v>
      </c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1814.5049999999999</v>
      </c>
      <c r="O93" s="88">
        <f t="shared" si="30"/>
        <v>-0.14509665163385266</v>
      </c>
    </row>
    <row r="94" spans="1:16" ht="12.75">
      <c r="A94" s="4" t="s">
        <v>90</v>
      </c>
      <c r="B94" s="38">
        <v>384.422</v>
      </c>
      <c r="C94" s="39">
        <v>53.866</v>
      </c>
      <c r="D94" s="104">
        <f t="shared" si="28"/>
        <v>438.288</v>
      </c>
      <c r="E94" s="103">
        <v>5.239</v>
      </c>
      <c r="F94" s="103"/>
      <c r="G94" s="103"/>
      <c r="H94" s="103"/>
      <c r="I94" s="103"/>
      <c r="J94" s="103"/>
      <c r="K94" s="103"/>
      <c r="L94" s="103"/>
      <c r="M94" s="103"/>
      <c r="N94" s="104">
        <f t="shared" si="29"/>
        <v>443.527</v>
      </c>
      <c r="O94" s="88">
        <f t="shared" si="30"/>
        <v>0.15375030565368256</v>
      </c>
      <c r="P94" s="105"/>
    </row>
    <row r="95" spans="1:15" ht="12.75">
      <c r="A95" s="3" t="s">
        <v>16</v>
      </c>
      <c r="B95" s="38">
        <f>2682.405+-2.567</f>
        <v>2679.838</v>
      </c>
      <c r="C95" s="39">
        <v>16.139</v>
      </c>
      <c r="D95" s="12">
        <f t="shared" si="28"/>
        <v>2695.9770000000003</v>
      </c>
      <c r="E95" s="39">
        <v>12.684</v>
      </c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>
        <f>50+60</f>
        <v>110</v>
      </c>
      <c r="N95" s="73">
        <f t="shared" si="29"/>
        <v>2698.6610000000005</v>
      </c>
      <c r="O95" s="88">
        <f t="shared" si="30"/>
        <v>0.007023932043653504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>
        <v>4.079</v>
      </c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392.553</v>
      </c>
      <c r="O96" s="88">
        <f>+(N96-B96)/B96</f>
        <v>-0.1203432103025835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31.083000000000006</v>
      </c>
      <c r="D98" s="9">
        <f>+SUM(D99:D101)</f>
        <v>446.658</v>
      </c>
      <c r="E98" s="33">
        <f t="shared" si="31"/>
        <v>21.528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471.186</v>
      </c>
      <c r="O98" s="87">
        <f>+(N98-B98)/B98</f>
        <v>0.13381700054141848</v>
      </c>
    </row>
    <row r="99" spans="1:15" ht="12.75">
      <c r="A99" s="20" t="s">
        <v>14</v>
      </c>
      <c r="B99" s="38">
        <v>34.179</v>
      </c>
      <c r="C99" s="43">
        <v>-48.537</v>
      </c>
      <c r="D99" s="12">
        <f>B99+C99</f>
        <v>-14.357999999999997</v>
      </c>
      <c r="E99" s="43">
        <v>6.621</v>
      </c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-16.736999999999995</v>
      </c>
      <c r="O99" s="88">
        <f>+(N99-B99)/B99</f>
        <v>-1.4896866496971823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>
        <v>10.276</v>
      </c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441.939</v>
      </c>
      <c r="O100" s="88">
        <f>+(N100-B100)/B100</f>
        <v>0.24826362899421825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>
        <v>4.631</v>
      </c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45.984</v>
      </c>
      <c r="O101" s="88">
        <f>+(N101-B101)/B101</f>
        <v>0.6811318685336161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264.7899999999998</v>
      </c>
      <c r="D103" s="64">
        <f>+D5+D25+D63</f>
        <v>20162.003</v>
      </c>
      <c r="E103" s="60">
        <f t="shared" si="32"/>
        <v>761.8109999999999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-704</v>
      </c>
      <c r="J103" s="60">
        <f t="shared" si="32"/>
        <v>-7</v>
      </c>
      <c r="K103" s="63">
        <f t="shared" si="32"/>
        <v>-1192</v>
      </c>
      <c r="L103" s="63">
        <f t="shared" si="32"/>
        <v>-224</v>
      </c>
      <c r="M103" s="63">
        <f t="shared" si="32"/>
        <v>960</v>
      </c>
      <c r="N103" s="83">
        <f t="shared" si="32"/>
        <v>20819.814</v>
      </c>
      <c r="O103" s="90">
        <f>+(N103-B103)/B103</f>
        <v>0.04636835319599779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f>52.238+-632</f>
        <v>-579.762</v>
      </c>
      <c r="D106" s="77">
        <f>B106+C106</f>
        <v>2213.6369999999997</v>
      </c>
      <c r="E106" s="24">
        <f>1534.982-2793-761.811</f>
        <v>-2019.8290000000002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193.80799999999954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>
        <f>-1007+1322.069</f>
        <v>315.06899999999996</v>
      </c>
      <c r="D108" s="77">
        <f>B108+C108</f>
        <v>2651.235</v>
      </c>
      <c r="E108" s="112">
        <f>2694.583-2336-1</f>
        <v>357.5830000000001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3008.818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0.09699999999980946</v>
      </c>
      <c r="D110" s="47">
        <f t="shared" si="33"/>
        <v>25026.875</v>
      </c>
      <c r="E110" s="47">
        <f t="shared" si="33"/>
        <v>-900.4350000000002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-704</v>
      </c>
      <c r="J110" s="47">
        <f t="shared" si="33"/>
        <v>-7</v>
      </c>
      <c r="K110" s="47">
        <f t="shared" si="33"/>
        <v>-1192</v>
      </c>
      <c r="L110" s="47">
        <f t="shared" si="33"/>
        <v>-224</v>
      </c>
      <c r="M110" s="47">
        <f t="shared" si="33"/>
        <v>960</v>
      </c>
      <c r="N110" s="47">
        <f>+SUM(N103:N109)</f>
        <v>24022.44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0.09699999999980946</v>
      </c>
      <c r="D115" s="47">
        <f>+SUM(D110,D113)</f>
        <v>25026.875</v>
      </c>
      <c r="E115" s="47">
        <f aca="true" t="shared" si="34" ref="E115:M115">+SUM(E110,E113)</f>
        <v>-900.4350000000002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-704</v>
      </c>
      <c r="J115" s="47">
        <f t="shared" si="34"/>
        <v>-7</v>
      </c>
      <c r="K115" s="47">
        <f t="shared" si="34"/>
        <v>-1192</v>
      </c>
      <c r="L115" s="47">
        <f t="shared" si="34"/>
        <v>-224</v>
      </c>
      <c r="M115" s="47">
        <f t="shared" si="34"/>
        <v>960</v>
      </c>
      <c r="N115" s="47">
        <f>+SUM(N110,N113)</f>
        <v>24022.44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1003.9770000000008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-24022.873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-6339--8219</f>
        <v>1880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-6339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-6114.284--5661</f>
        <v>-453.28399999999965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-6114.236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-11518.739--11228</f>
        <v>-290.7389999999996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-11518.809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154.172-D122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f>-205--73</f>
        <v>-132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-205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0.09699999999980946</v>
      </c>
      <c r="D125" s="24">
        <f>+SUM(D118,D115)</f>
        <v>0.024999999997817213</v>
      </c>
      <c r="E125" s="24">
        <f aca="true" t="shared" si="36" ref="E125:N125">+SUM(E118,E115)</f>
        <v>103.5420000000006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-704</v>
      </c>
      <c r="J125" s="24">
        <f t="shared" si="36"/>
        <v>-7</v>
      </c>
      <c r="K125" s="24">
        <f t="shared" si="36"/>
        <v>-1192</v>
      </c>
      <c r="L125" s="24">
        <f t="shared" si="36"/>
        <v>-224</v>
      </c>
      <c r="M125" s="24">
        <f t="shared" si="36"/>
        <v>960</v>
      </c>
      <c r="N125" s="24">
        <f t="shared" si="36"/>
        <v>-0.4330000000009022</v>
      </c>
      <c r="O125" s="37"/>
    </row>
    <row r="126" ht="12.75" collapsed="1"/>
    <row r="127" spans="5:14" ht="12.75">
      <c r="E127" s="41"/>
      <c r="N127" s="41"/>
    </row>
    <row r="129" ht="12.75">
      <c r="N129" s="41"/>
    </row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1"/>
  <headerFooter alignWithMargins="0">
    <oddHeader>&amp;R&amp;16Appendix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M103" sqref="A3:M103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492.02599999999984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26.02599999999984</v>
      </c>
      <c r="M5" s="53">
        <f>+(L5-B5)/B5</f>
        <v>-0.9471044213110692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1842.1580000000001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1690.1580000000001</v>
      </c>
      <c r="M7" s="55">
        <f aca="true" t="shared" si="2" ref="M7:M12">+(L7-B7)/B7</f>
        <v>-0.08251192351578963</v>
      </c>
    </row>
    <row r="8" spans="1:13" ht="12.75">
      <c r="A8" s="2" t="s">
        <v>43</v>
      </c>
      <c r="B8" s="12">
        <f>'2014-15'!N8</f>
        <v>13.831999999999999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2.831999999999999</v>
      </c>
      <c r="M8" s="56">
        <f t="shared" si="2"/>
        <v>-0.7952573742047427</v>
      </c>
    </row>
    <row r="9" spans="1:13" ht="12.75">
      <c r="A9" s="2" t="s">
        <v>44</v>
      </c>
      <c r="B9" s="12">
        <f>'2014-15'!N9</f>
        <v>89.215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83.215</v>
      </c>
      <c r="M9" s="56">
        <f t="shared" si="2"/>
        <v>-0.06725326458555175</v>
      </c>
    </row>
    <row r="10" spans="1:13" ht="12.75">
      <c r="A10" s="2" t="s">
        <v>68</v>
      </c>
      <c r="B10" s="12">
        <f>'2014-15'!N10</f>
        <v>607.817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607.817</v>
      </c>
      <c r="M10" s="56">
        <f t="shared" si="2"/>
        <v>0</v>
      </c>
    </row>
    <row r="11" spans="1:13" ht="12.75">
      <c r="A11" s="2" t="s">
        <v>45</v>
      </c>
      <c r="B11" s="12">
        <f>'2014-15'!N11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'2014-15'!N12</f>
        <v>1159.467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1024.467</v>
      </c>
      <c r="M12" s="56">
        <f t="shared" si="2"/>
        <v>-0.11643280921319882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-5226.862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-5358.862</v>
      </c>
      <c r="M14" s="55">
        <f>+(L14-B14)/B14</f>
        <v>0.025254158231076313</v>
      </c>
    </row>
    <row r="15" spans="1:13" ht="12.75">
      <c r="A15" s="4" t="s">
        <v>62</v>
      </c>
      <c r="B15" s="12">
        <f>'2014-15'!N15</f>
        <v>-6487.113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-6619.113</v>
      </c>
      <c r="M15" s="56">
        <f>+(L15-B15)/B15</f>
        <v>0.02034803463420477</v>
      </c>
    </row>
    <row r="16" spans="1:13" ht="12.75">
      <c r="A16" s="4" t="s">
        <v>63</v>
      </c>
      <c r="B16" s="12">
        <f>'2014-15'!N16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'2014-15'!N17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'2014-15'!N18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3876.7299999999996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06">
        <f>+SUM(L21:L23)</f>
        <v>3694.7299999999996</v>
      </c>
      <c r="M20" s="55">
        <f>+(L20-B20)/B20</f>
        <v>-0.046946782468730096</v>
      </c>
    </row>
    <row r="21" spans="1:13" ht="12.75">
      <c r="A21" s="3" t="s">
        <v>17</v>
      </c>
      <c r="B21" s="12">
        <f>'2014-15'!N21</f>
        <v>649.0350000000001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644.0350000000001</v>
      </c>
      <c r="M21" s="56">
        <f>+(L21-B21)/B21</f>
        <v>-0.007703744790342584</v>
      </c>
    </row>
    <row r="22" spans="1:13" ht="12.75">
      <c r="A22" s="3" t="s">
        <v>18</v>
      </c>
      <c r="B22" s="12">
        <f>'2014-15'!N22</f>
        <v>3756.107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3756.107</v>
      </c>
      <c r="M22" s="56">
        <f>+(L22-B22)/B22</f>
        <v>0</v>
      </c>
    </row>
    <row r="23" spans="1:13" ht="12.75">
      <c r="A23" s="3" t="s">
        <v>106</v>
      </c>
      <c r="B23" s="14">
        <f>'2014-15'!N23</f>
        <v>-528.412</v>
      </c>
      <c r="C23" s="33"/>
      <c r="D23" s="10"/>
      <c r="E23" s="33"/>
      <c r="F23" s="15">
        <v>3</v>
      </c>
      <c r="G23" s="39">
        <f>-50+-30</f>
        <v>-80</v>
      </c>
      <c r="H23" s="10"/>
      <c r="I23" s="39">
        <v>-100</v>
      </c>
      <c r="J23" s="10"/>
      <c r="K23" s="33"/>
      <c r="L23" s="12">
        <f>+B23+SUM(C23:K23)</f>
        <v>-705.412</v>
      </c>
      <c r="M23" s="56">
        <f>+(L23-B23)/B23</f>
        <v>0.3349658978221539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6188.522999999999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35</v>
      </c>
      <c r="L25" s="25">
        <f t="shared" si="5"/>
        <v>5389.522999999999</v>
      </c>
      <c r="M25" s="53">
        <f>+(L25-B25)/B25</f>
        <v>-0.12910996695011073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264.52299999999997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-0.26462727248670254</v>
      </c>
    </row>
    <row r="28" spans="1:13" ht="12.75">
      <c r="A28" s="2" t="s">
        <v>33</v>
      </c>
      <c r="B28" s="12">
        <f>'2014-15'!N28</f>
        <v>43.009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3.0090000000000003</v>
      </c>
      <c r="M28" s="56">
        <f t="shared" si="7"/>
        <v>-0.930037899044386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'2014-15'!N32</f>
        <v>-11.613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-41.613</v>
      </c>
      <c r="M32" s="56">
        <f t="shared" si="7"/>
        <v>2.5833118057349522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1258.8890000000001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1104.8890000000001</v>
      </c>
      <c r="M34" s="55">
        <f aca="true" t="shared" si="9" ref="M34:M39">+(L34-B34)/B34</f>
        <v>-0.1223300862903719</v>
      </c>
    </row>
    <row r="35" spans="1:13" ht="12.75">
      <c r="A35" s="99" t="s">
        <v>94</v>
      </c>
      <c r="B35" s="12">
        <f>'2014-15'!N35</f>
        <v>-16.525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-45.525</v>
      </c>
      <c r="M35" s="56">
        <f t="shared" si="9"/>
        <v>1.7549167927382754</v>
      </c>
    </row>
    <row r="36" spans="1:13" ht="12.75">
      <c r="A36" s="99" t="s">
        <v>0</v>
      </c>
      <c r="B36" s="12">
        <f>'2014-15'!N36</f>
        <v>535.434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535.434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61.007999999999996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61.007999999999996</v>
      </c>
      <c r="M38" s="56">
        <f t="shared" si="9"/>
        <v>0</v>
      </c>
    </row>
    <row r="39" spans="1:13" ht="12.75">
      <c r="A39" s="3" t="s">
        <v>77</v>
      </c>
      <c r="B39" s="12">
        <f>'2014-15'!N39</f>
        <v>769.72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644.72</v>
      </c>
      <c r="M39" s="56">
        <f t="shared" si="9"/>
        <v>-0.1623967156888219</v>
      </c>
    </row>
    <row r="40" spans="1:14" ht="12.75">
      <c r="A40" s="20"/>
      <c r="B40" s="38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3703.4069999999997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3585.4069999999997</v>
      </c>
      <c r="M41" s="55">
        <f aca="true" t="shared" si="11" ref="M41:M46">+(L41-B41)/B41</f>
        <v>-0.03186255250908151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86.506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-69.494</v>
      </c>
      <c r="M43" s="56">
        <f t="shared" si="11"/>
        <v>-1.80334312070839</v>
      </c>
    </row>
    <row r="44" spans="1:13" ht="12.75">
      <c r="A44" s="3" t="s">
        <v>19</v>
      </c>
      <c r="B44" s="12">
        <f>'2014-15'!N44</f>
        <v>1174.7269999999999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1212.7269999999999</v>
      </c>
      <c r="M44" s="56">
        <f t="shared" si="11"/>
        <v>0.032347941266353805</v>
      </c>
    </row>
    <row r="45" spans="1:13" ht="12.75">
      <c r="A45" s="3" t="s">
        <v>53</v>
      </c>
      <c r="B45" s="12">
        <f>'2014-15'!N45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20"/>
      <c r="B47" s="101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527.335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35</v>
      </c>
      <c r="L48" s="9">
        <f t="shared" si="12"/>
        <v>507.335</v>
      </c>
      <c r="M48" s="55">
        <f aca="true" t="shared" si="13" ref="M48:M53">+(L48-B48)/B48</f>
        <v>-0.03792655522580533</v>
      </c>
    </row>
    <row r="49" spans="1:13" ht="12.75">
      <c r="A49" s="2" t="s">
        <v>81</v>
      </c>
      <c r="B49" s="12">
        <f>'2014-15'!N49</f>
        <v>194.622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174.622</v>
      </c>
      <c r="M49" s="56">
        <f t="shared" si="13"/>
        <v>-0.10276330527895099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53.259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53.259</v>
      </c>
      <c r="M51" s="56">
        <f t="shared" si="13"/>
        <v>0</v>
      </c>
    </row>
    <row r="52" spans="1:13" ht="12.75">
      <c r="A52" s="2" t="s">
        <v>38</v>
      </c>
      <c r="B52" s="12">
        <f>'2014-15'!N52</f>
        <v>119.90299999999999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119.90299999999999</v>
      </c>
      <c r="M52" s="56">
        <f t="shared" si="13"/>
        <v>0</v>
      </c>
    </row>
    <row r="53" spans="1:13" ht="12.75">
      <c r="A53" s="20" t="s">
        <v>83</v>
      </c>
      <c r="B53" s="12">
        <f>'2014-15'!N53</f>
        <v>159.51100000000002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>
        <v>35</v>
      </c>
      <c r="L53" s="12">
        <f>+B53+SUM(C53:K53)</f>
        <v>159.51100000000002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434.36899999999997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-1.0060570620831597</v>
      </c>
    </row>
    <row r="56" spans="1:13" ht="12.75">
      <c r="A56" s="3" t="s">
        <v>1</v>
      </c>
      <c r="B56" s="12">
        <f>'2014-15'!N56</f>
        <v>3.4459999999999997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-0.8705745792222868</v>
      </c>
    </row>
    <row r="57" spans="1:13" ht="12.75">
      <c r="A57" s="3" t="s">
        <v>2</v>
      </c>
      <c r="B57" s="12">
        <f>'2014-15'!N57</f>
        <v>218.712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217.712</v>
      </c>
      <c r="M57" s="56">
        <f t="shared" si="15"/>
        <v>-0.004572222831851934</v>
      </c>
    </row>
    <row r="58" spans="1:13" ht="12.75">
      <c r="A58" s="3" t="s">
        <v>48</v>
      </c>
      <c r="B58" s="12">
        <f>'2014-15'!N58</f>
        <v>180.921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97.92099999999999</v>
      </c>
      <c r="M58" s="56">
        <f t="shared" si="15"/>
        <v>-0.4587637698221876</v>
      </c>
    </row>
    <row r="59" spans="1:13" ht="12.75">
      <c r="A59" s="3" t="s">
        <v>49</v>
      </c>
      <c r="B59" s="12">
        <f>'2014-15'!N59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'2014-15'!N60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'2014-15'!N61</f>
        <v>26.826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-323.174</v>
      </c>
      <c r="M61" s="56">
        <f t="shared" si="15"/>
        <v>-13.047043912622083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14139.264999999998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-845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-285</v>
      </c>
      <c r="L63" s="25">
        <f t="shared" si="17"/>
        <v>12843.265000000001</v>
      </c>
      <c r="M63" s="53">
        <f>+(L63-B63)/B63</f>
        <v>-0.09165964426015048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2834.6319999999996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2751.6319999999996</v>
      </c>
      <c r="M65" s="55">
        <f aca="true" t="shared" si="19" ref="M65:M70">+(L65-B65)/B65</f>
        <v>-0.029280696753582126</v>
      </c>
    </row>
    <row r="66" spans="1:13" ht="12.75">
      <c r="A66" s="2" t="s">
        <v>96</v>
      </c>
      <c r="B66" s="12">
        <f>'2014-15'!N66</f>
        <v>797.23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735.23</v>
      </c>
      <c r="M66" s="56">
        <f t="shared" si="19"/>
        <v>-0.07776927611856052</v>
      </c>
    </row>
    <row r="67" spans="1:13" ht="12.75">
      <c r="A67" s="2" t="s">
        <v>47</v>
      </c>
      <c r="B67" s="12">
        <f>'2014-15'!N67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'2014-15'!N68</f>
        <v>1048.097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1027.097</v>
      </c>
      <c r="M68" s="56">
        <f t="shared" si="19"/>
        <v>-0.02003631343282158</v>
      </c>
    </row>
    <row r="69" spans="1:13" ht="12.75">
      <c r="A69" s="2" t="s">
        <v>105</v>
      </c>
      <c r="B69" s="12">
        <f>'2014-15'!N69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2879.7709999999997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-100</v>
      </c>
      <c r="L72" s="9">
        <f t="shared" si="20"/>
        <v>2457.7709999999997</v>
      </c>
      <c r="M72" s="55">
        <f aca="true" t="shared" si="21" ref="M72:M84">+(L72-B72)/B72</f>
        <v>-0.1465394296977086</v>
      </c>
    </row>
    <row r="73" spans="1:13" ht="12.75">
      <c r="A73" s="21" t="s">
        <v>86</v>
      </c>
      <c r="B73" s="12">
        <f>'2014-15'!N73</f>
        <v>-2598.2999999999997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-2631.2999999999997</v>
      </c>
      <c r="M73" s="56">
        <f t="shared" si="21"/>
        <v>0.012700611938575223</v>
      </c>
    </row>
    <row r="74" spans="1:13" ht="12.75">
      <c r="A74" s="21" t="s">
        <v>87</v>
      </c>
      <c r="B74" s="12">
        <f>'2014-15'!N74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-3634.576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-4100.576</v>
      </c>
      <c r="M75" s="56">
        <f t="shared" si="21"/>
        <v>0.12821302952531463</v>
      </c>
    </row>
    <row r="76" spans="1:13" ht="12.75">
      <c r="A76" s="21" t="s">
        <v>21</v>
      </c>
      <c r="B76" s="12">
        <f>'2014-15'!N76</f>
        <v>3403.131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3471.131</v>
      </c>
      <c r="M76" s="56">
        <f t="shared" si="21"/>
        <v>0.019981599297823095</v>
      </c>
    </row>
    <row r="77" spans="1:13" ht="12.75">
      <c r="A77" s="21" t="s">
        <v>88</v>
      </c>
      <c r="B77" s="12">
        <f>'2014-15'!N77</f>
        <v>-1129.9979999999998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-1161.9979999999998</v>
      </c>
      <c r="M77" s="56">
        <f t="shared" si="21"/>
        <v>0.02831863419227291</v>
      </c>
    </row>
    <row r="78" spans="1:13" ht="12.75">
      <c r="A78" s="21" t="s">
        <v>66</v>
      </c>
      <c r="B78" s="12">
        <f>'2014-15'!N78</f>
        <v>-37.94200000000001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>
        <v>-75</v>
      </c>
      <c r="L78" s="12">
        <f t="shared" si="22"/>
        <v>-130.942</v>
      </c>
      <c r="M78" s="56">
        <f t="shared" si="21"/>
        <v>2.451109588319013</v>
      </c>
    </row>
    <row r="79" spans="1:13" ht="12.75">
      <c r="A79" s="21" t="s">
        <v>22</v>
      </c>
      <c r="B79" s="12">
        <f>'2014-15'!N79</f>
        <v>3858.322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3834.322</v>
      </c>
      <c r="M79" s="56">
        <f t="shared" si="21"/>
        <v>-0.00622032064716216</v>
      </c>
    </row>
    <row r="80" spans="1:13" ht="12.75">
      <c r="A80" s="21" t="s">
        <v>65</v>
      </c>
      <c r="B80" s="12">
        <f>'2014-15'!N80</f>
        <v>-83.10800000000003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-43.10800000000003</v>
      </c>
      <c r="M80" s="56">
        <f t="shared" si="21"/>
        <v>-0.4813014390913027</v>
      </c>
    </row>
    <row r="81" spans="1:13" ht="12.75">
      <c r="A81" s="21" t="s">
        <v>23</v>
      </c>
      <c r="B81" s="12">
        <f>'2014-15'!N81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2333.6690000000003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2333.6690000000003</v>
      </c>
      <c r="M83" s="56">
        <f t="shared" si="21"/>
        <v>0</v>
      </c>
    </row>
    <row r="84" spans="1:14" ht="12.75" customHeight="1">
      <c r="A84" s="21" t="s">
        <v>25</v>
      </c>
      <c r="B84" s="104">
        <f>'2014-15'!N84</f>
        <v>1107.255</v>
      </c>
      <c r="C84" s="39"/>
      <c r="D84" s="15"/>
      <c r="E84" s="39">
        <v>98</v>
      </c>
      <c r="F84" s="103"/>
      <c r="G84" s="103">
        <v>20</v>
      </c>
      <c r="H84" s="103"/>
      <c r="I84" s="103"/>
      <c r="J84" s="103"/>
      <c r="K84" s="103"/>
      <c r="L84" s="104">
        <f t="shared" si="22"/>
        <v>1225.255</v>
      </c>
      <c r="M84" s="88">
        <f t="shared" si="21"/>
        <v>0.10656985066673891</v>
      </c>
      <c r="N84" s="105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7953.6759999999995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-510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-25</v>
      </c>
      <c r="L86" s="9">
        <f t="shared" si="23"/>
        <v>7362.676000000001</v>
      </c>
      <c r="M86" s="55">
        <f aca="true" t="shared" si="24" ref="M86:M96">+(L86-B86)/B86</f>
        <v>-0.07430526463486799</v>
      </c>
    </row>
    <row r="87" spans="1:13" ht="12.75">
      <c r="A87" s="4" t="s">
        <v>55</v>
      </c>
      <c r="B87" s="12">
        <f>'2014-15'!N87</f>
        <v>2061.77</v>
      </c>
      <c r="C87" s="39"/>
      <c r="D87" s="15"/>
      <c r="E87" s="39">
        <v>6</v>
      </c>
      <c r="F87" s="15"/>
      <c r="G87" s="39">
        <f>-300+-195</f>
        <v>-495</v>
      </c>
      <c r="H87" s="15"/>
      <c r="I87" s="39">
        <v>-10</v>
      </c>
      <c r="J87" s="15"/>
      <c r="K87" s="39"/>
      <c r="L87" s="12">
        <f aca="true" t="shared" si="25" ref="L87:L96">+B87+SUM(C87:K87)</f>
        <v>1562.77</v>
      </c>
      <c r="M87" s="56">
        <f t="shared" si="24"/>
        <v>-0.24202505614108266</v>
      </c>
    </row>
    <row r="88" spans="1:13" ht="12.75">
      <c r="A88" s="4" t="s">
        <v>72</v>
      </c>
      <c r="B88" s="12">
        <f>'2014-15'!N88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'2014-15'!N89</f>
        <v>212.068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212.068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'2014-15'!N93</f>
        <v>1814.5049999999999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1752.5049999999999</v>
      </c>
      <c r="M93" s="56">
        <f t="shared" si="24"/>
        <v>-0.03416909845935944</v>
      </c>
    </row>
    <row r="94" spans="1:13" ht="12.75">
      <c r="A94" s="4" t="s">
        <v>90</v>
      </c>
      <c r="B94" s="100">
        <f>'2014-15'!N94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00">
        <f>'2014-15'!N95</f>
        <v>2698.6610000000005</v>
      </c>
      <c r="C95" s="39"/>
      <c r="D95" s="15"/>
      <c r="E95" s="39"/>
      <c r="F95" s="15"/>
      <c r="G95" s="39"/>
      <c r="H95" s="15"/>
      <c r="I95" s="39"/>
      <c r="J95" s="15"/>
      <c r="K95" s="39">
        <v>-25</v>
      </c>
      <c r="L95" s="12">
        <f t="shared" si="25"/>
        <v>2673.6610000000005</v>
      </c>
      <c r="M95" s="56">
        <f t="shared" si="24"/>
        <v>-0.009263853444356292</v>
      </c>
    </row>
    <row r="96" spans="1:13" ht="12.75">
      <c r="A96" s="3" t="s">
        <v>99</v>
      </c>
      <c r="B96" s="16">
        <f>'2014-15'!N96</f>
        <v>392.553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387.553</v>
      </c>
      <c r="M96" s="56">
        <f t="shared" si="24"/>
        <v>-0.012737133584509609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471.186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271.18600000000004</v>
      </c>
      <c r="M98" s="55">
        <f>+(L98-B98)/B98</f>
        <v>-0.42446082863242957</v>
      </c>
    </row>
    <row r="99" spans="1:13" ht="12.75">
      <c r="A99" s="20" t="s">
        <v>14</v>
      </c>
      <c r="B99" s="12">
        <f>'2014-15'!N99</f>
        <v>-16.736999999999995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-28.736999999999995</v>
      </c>
      <c r="M99" s="56">
        <f>+(L99-B99)/B99</f>
        <v>0.7169743681663383</v>
      </c>
    </row>
    <row r="100" spans="1:13" ht="12.75">
      <c r="A100" s="20" t="s">
        <v>52</v>
      </c>
      <c r="B100" s="12">
        <f>'2014-15'!N100</f>
        <v>441.939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430.939</v>
      </c>
      <c r="M100" s="56">
        <f>+(L100-B100)/B100</f>
        <v>-0.024890312916488473</v>
      </c>
    </row>
    <row r="101" spans="1:13" ht="15" customHeight="1">
      <c r="A101" s="20" t="s">
        <v>15</v>
      </c>
      <c r="B101" s="12">
        <f>'2014-15'!N101</f>
        <v>45.984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-131.016</v>
      </c>
      <c r="M101" s="56">
        <f>+(L101-B101)/B101</f>
        <v>-3.849164926931106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20819.814</v>
      </c>
      <c r="C103" s="60">
        <f>+C5+C25+C63</f>
        <v>0</v>
      </c>
      <c r="D103" s="63">
        <f>+D5+D25+D63</f>
        <v>0</v>
      </c>
      <c r="E103" s="108">
        <f aca="true" t="shared" si="27" ref="E103:L103">+E5+E25+E63</f>
        <v>182</v>
      </c>
      <c r="F103" s="63">
        <f t="shared" si="27"/>
        <v>-18</v>
      </c>
      <c r="G103" s="63">
        <f t="shared" si="27"/>
        <v>-1689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-525</v>
      </c>
      <c r="L103" s="64">
        <f t="shared" si="27"/>
        <v>18258.814</v>
      </c>
      <c r="M103" s="61">
        <f>+(L103-B103)/B103</f>
        <v>-0.12300782322070698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193.80799999999954</v>
      </c>
      <c r="C106" s="24">
        <v>-1802.742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-1608.9340000000004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3008.818</v>
      </c>
      <c r="C108" s="24">
        <v>1608.82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4617.638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24022.44</v>
      </c>
      <c r="C110" s="47">
        <f t="shared" si="28"/>
        <v>-193.92200000000003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-1689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-525</v>
      </c>
      <c r="L110" s="47">
        <f t="shared" si="28"/>
        <v>21267.517999999996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24022.44</v>
      </c>
      <c r="C115" s="47">
        <f>+SUM(C110,C113)</f>
        <v>-193.92200000000003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-1689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-525</v>
      </c>
      <c r="L115" s="47">
        <f t="shared" si="29"/>
        <v>21267.517999999996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-24022.873</v>
      </c>
      <c r="C118" s="47">
        <f>+SUM(C119:C123)</f>
        <v>2754.922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-21267.951</v>
      </c>
      <c r="M118" s="37"/>
    </row>
    <row r="119" spans="1:13" ht="12.75" hidden="1" outlineLevel="1">
      <c r="A119" s="76" t="s">
        <v>108</v>
      </c>
      <c r="B119" s="38">
        <f>'2014-15'!N119</f>
        <v>-6339</v>
      </c>
      <c r="C119" s="24">
        <v>1906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-4433</v>
      </c>
      <c r="M119" s="37"/>
    </row>
    <row r="120" spans="1:13" ht="12.75" hidden="1" outlineLevel="1">
      <c r="A120" s="76" t="s">
        <v>109</v>
      </c>
      <c r="B120" s="38">
        <f>'2014-15'!N120</f>
        <v>-6114.236</v>
      </c>
      <c r="C120" s="24">
        <v>814.959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-5299.277</v>
      </c>
      <c r="M120" s="37"/>
    </row>
    <row r="121" spans="1:13" ht="12.75" hidden="1" outlineLevel="1">
      <c r="A121" s="80" t="s">
        <v>110</v>
      </c>
      <c r="B121" s="38">
        <f>'2014-15'!N121</f>
        <v>-11518.809</v>
      </c>
      <c r="C121" s="24">
        <v>-171.037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-11689.846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-205</v>
      </c>
      <c r="C123" s="24">
        <v>205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2561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-1689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-525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09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26.02599999999984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-176</v>
      </c>
      <c r="J5" s="26">
        <f t="shared" si="0"/>
        <v>-10</v>
      </c>
      <c r="K5" s="30">
        <f t="shared" si="0"/>
        <v>-25</v>
      </c>
      <c r="L5" s="25">
        <f>+L7+L14+L20</f>
        <v>-288.97400000000016</v>
      </c>
      <c r="M5" s="53">
        <f>+(L5-B5)/B5</f>
        <v>-12.103281334050639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1690.1580000000001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1563.1580000000001</v>
      </c>
      <c r="M7" s="55">
        <f aca="true" t="shared" si="2" ref="M7:M12">+(L7-B7)/B7</f>
        <v>-0.0751409039864912</v>
      </c>
    </row>
    <row r="8" spans="1:13" ht="12.75">
      <c r="A8" s="2" t="s">
        <v>43</v>
      </c>
      <c r="B8" s="12">
        <f>'2015-16'!L8</f>
        <v>2.831999999999999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-7.168000000000001</v>
      </c>
      <c r="M8" s="56">
        <f t="shared" si="2"/>
        <v>-3.5310734463276847</v>
      </c>
    </row>
    <row r="9" spans="1:13" ht="12.75">
      <c r="A9" s="2" t="s">
        <v>44</v>
      </c>
      <c r="B9" s="12">
        <f>'2015-16'!L9</f>
        <v>83.215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81.215</v>
      </c>
      <c r="M9" s="56">
        <f t="shared" si="2"/>
        <v>-0.02403412846241663</v>
      </c>
    </row>
    <row r="10" spans="1:13" ht="12.75">
      <c r="A10" s="2" t="s">
        <v>68</v>
      </c>
      <c r="B10" s="12">
        <f>'2015-16'!L10</f>
        <v>607.817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-0.14807088317700887</v>
      </c>
    </row>
    <row r="11" spans="1:13" ht="12.75">
      <c r="A11" s="2" t="s">
        <v>45</v>
      </c>
      <c r="B11" s="12">
        <f>'2015-16'!L11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'2015-16'!L12</f>
        <v>1024.467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999.4670000000001</v>
      </c>
      <c r="M12" s="56">
        <f t="shared" si="2"/>
        <v>-0.024402933427821488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-5358.862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0.013435688398021818</v>
      </c>
    </row>
    <row r="15" spans="1:13" ht="12.75">
      <c r="A15" s="4" t="s">
        <v>62</v>
      </c>
      <c r="B15" s="12">
        <f>'2015-16'!L15</f>
        <v>-6619.113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-6691.113</v>
      </c>
      <c r="M15" s="56">
        <f>+(L15-B15)/B15</f>
        <v>0.01087759039617544</v>
      </c>
    </row>
    <row r="16" spans="1:13" ht="12.75">
      <c r="A16" s="4" t="s">
        <v>63</v>
      </c>
      <c r="B16" s="12">
        <f>'2015-16'!L16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'2015-16'!L17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'2015-16'!L18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3694.7299999999996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-100</v>
      </c>
      <c r="J20" s="10">
        <f t="shared" si="4"/>
        <v>0</v>
      </c>
      <c r="K20" s="33">
        <f t="shared" si="4"/>
        <v>0</v>
      </c>
      <c r="L20" s="9">
        <f t="shared" si="4"/>
        <v>3578.7299999999996</v>
      </c>
      <c r="M20" s="55">
        <f>+(L20-B20)/B20</f>
        <v>-0.03139606953688091</v>
      </c>
    </row>
    <row r="21" spans="1:13" ht="12.75">
      <c r="A21" s="3" t="s">
        <v>17</v>
      </c>
      <c r="B21" s="12">
        <f>'2015-16'!L21</f>
        <v>644.0350000000001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638.0350000000001</v>
      </c>
      <c r="M21" s="56">
        <f>+(L21-B21)/B21</f>
        <v>-0.009316263867646944</v>
      </c>
    </row>
    <row r="22" spans="1:13" ht="12.75">
      <c r="A22" s="3" t="s">
        <v>18</v>
      </c>
      <c r="B22" s="12">
        <f>'2015-16'!L22</f>
        <v>3756.107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3746.107</v>
      </c>
      <c r="M22" s="56">
        <f>+(L22-B22)/B22</f>
        <v>-0.0026623309719345056</v>
      </c>
    </row>
    <row r="23" spans="1:13" ht="12.75">
      <c r="A23" s="3" t="s">
        <v>106</v>
      </c>
      <c r="B23" s="14">
        <f>'2015-16'!L23</f>
        <v>-705.412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-100</v>
      </c>
      <c r="J23" s="10"/>
      <c r="K23" s="33"/>
      <c r="L23" s="12">
        <f>+B23+SUM(C23:K23)</f>
        <v>-805.412</v>
      </c>
      <c r="M23" s="56">
        <f>+(L23-B23)/B23</f>
        <v>0.14176112683084494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5389.522999999999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-360</v>
      </c>
      <c r="L25" s="25">
        <f t="shared" si="5"/>
        <v>4641.522999999999</v>
      </c>
      <c r="M25" s="53">
        <f>+(L25-B25)/B25</f>
        <v>-0.13878779253748433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194.52299999999997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'2015-16'!L32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1104.8890000000001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-150</v>
      </c>
      <c r="L34" s="9">
        <f t="shared" si="8"/>
        <v>782.889</v>
      </c>
      <c r="M34" s="55">
        <f aca="true" t="shared" si="9" ref="M34:M39">+(L34-B34)/B34</f>
        <v>-0.2914319900008056</v>
      </c>
    </row>
    <row r="35" spans="1:13" ht="12.75">
      <c r="A35" s="99" t="s">
        <v>94</v>
      </c>
      <c r="B35" s="12">
        <f>'2015-16'!L35</f>
        <v>-45.525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-65.525</v>
      </c>
      <c r="M35" s="56">
        <f t="shared" si="9"/>
        <v>0.43931905546403094</v>
      </c>
    </row>
    <row r="36" spans="1:13" ht="12.75">
      <c r="A36" s="99" t="s">
        <v>0</v>
      </c>
      <c r="B36" s="12">
        <f>'2015-16'!L36</f>
        <v>535.434</v>
      </c>
      <c r="C36" s="39"/>
      <c r="D36" s="15"/>
      <c r="E36" s="39"/>
      <c r="F36" s="15"/>
      <c r="G36" s="39"/>
      <c r="H36" s="15"/>
      <c r="I36" s="39"/>
      <c r="J36" s="15"/>
      <c r="K36" s="39">
        <v>-150</v>
      </c>
      <c r="L36" s="12">
        <f>+B36+SUM(C36:K36)</f>
        <v>385.43399999999997</v>
      </c>
      <c r="M36" s="56">
        <f t="shared" si="9"/>
        <v>-0.28014657268682974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61.007999999999996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54.007999999999996</v>
      </c>
      <c r="M38" s="56">
        <f t="shared" si="9"/>
        <v>-0.11473905061631262</v>
      </c>
    </row>
    <row r="39" spans="1:13" ht="12.75">
      <c r="A39" s="3" t="s">
        <v>77</v>
      </c>
      <c r="B39" s="12">
        <f>'2015-16'!L39</f>
        <v>644.72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499.72</v>
      </c>
      <c r="M39" s="56">
        <f t="shared" si="9"/>
        <v>-0.22490383422260826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07">
        <f>+SUM(B42:B46)</f>
        <v>3585.4069999999997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07">
        <f t="shared" si="10"/>
        <v>3427.4069999999997</v>
      </c>
      <c r="M41" s="87">
        <f aca="true" t="shared" si="11" ref="M41:M46">+(L41-B41)/B41</f>
        <v>-0.044067521483613994</v>
      </c>
      <c r="N41" s="105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-69.494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-189.494</v>
      </c>
      <c r="M43" s="56">
        <f t="shared" si="11"/>
        <v>1.726767778513253</v>
      </c>
    </row>
    <row r="44" spans="1:13" ht="12.75">
      <c r="A44" s="3" t="s">
        <v>19</v>
      </c>
      <c r="B44" s="12">
        <f>'2015-16'!L44</f>
        <v>1212.7269999999999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1174.7269999999999</v>
      </c>
      <c r="M44" s="56">
        <f t="shared" si="11"/>
        <v>-0.03133433988028633</v>
      </c>
    </row>
    <row r="45" spans="1:13" ht="12.75">
      <c r="A45" s="3" t="s">
        <v>53</v>
      </c>
      <c r="B45" s="12">
        <f>'2015-16'!L45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507.335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-175</v>
      </c>
      <c r="L48" s="9">
        <f t="shared" si="12"/>
        <v>239.33500000000004</v>
      </c>
      <c r="M48" s="55">
        <f aca="true" t="shared" si="13" ref="M48:M53">+(L48-B48)/B48</f>
        <v>-0.5282505642228507</v>
      </c>
    </row>
    <row r="49" spans="1:13" ht="12.75">
      <c r="A49" s="2" t="s">
        <v>81</v>
      </c>
      <c r="B49" s="12">
        <f>'2015-16'!L49</f>
        <v>174.622</v>
      </c>
      <c r="C49" s="39"/>
      <c r="D49" s="15"/>
      <c r="E49" s="39"/>
      <c r="F49" s="15"/>
      <c r="G49" s="39"/>
      <c r="H49" s="15"/>
      <c r="I49" s="39"/>
      <c r="J49" s="15"/>
      <c r="K49" s="39">
        <v>-75</v>
      </c>
      <c r="L49" s="12">
        <f>+B49+SUM(C49:K49)</f>
        <v>99.62200000000001</v>
      </c>
      <c r="M49" s="56">
        <f t="shared" si="13"/>
        <v>-0.4294991467283618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53.259</v>
      </c>
      <c r="C51" s="39"/>
      <c r="D51" s="15"/>
      <c r="E51" s="39"/>
      <c r="F51" s="15"/>
      <c r="G51" s="39"/>
      <c r="H51" s="15"/>
      <c r="I51" s="39"/>
      <c r="J51" s="15"/>
      <c r="K51" s="39">
        <v>-100</v>
      </c>
      <c r="L51" s="12">
        <f>+B51+SUM(C51:K51)</f>
        <v>-46.741</v>
      </c>
      <c r="M51" s="56">
        <f t="shared" si="13"/>
        <v>-1.8776169285942281</v>
      </c>
    </row>
    <row r="52" spans="1:13" ht="12.75">
      <c r="A52" s="2" t="s">
        <v>38</v>
      </c>
      <c r="B52" s="12">
        <f>'2015-16'!L52</f>
        <v>119.90299999999999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117.90299999999999</v>
      </c>
      <c r="M52" s="56">
        <f t="shared" si="13"/>
        <v>-0.016680149787745097</v>
      </c>
    </row>
    <row r="53" spans="1:13" ht="12.75">
      <c r="A53" s="20" t="s">
        <v>83</v>
      </c>
      <c r="B53" s="12">
        <f>'2015-16'!L53</f>
        <v>159.51100000000002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68.51100000000002</v>
      </c>
      <c r="M53" s="56">
        <f t="shared" si="13"/>
        <v>-0.5704935709762963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'2015-16'!L57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'2015-16'!L58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'2015-16'!L59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'2015-16'!L60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'2015-16'!L61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12843.265000000001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-198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61</v>
      </c>
      <c r="L63" s="25">
        <f t="shared" si="17"/>
        <v>12470.264999999998</v>
      </c>
      <c r="M63" s="53">
        <f>+(L63-B63)/B63</f>
        <v>-0.029042459218898278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2751.6319999999996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-0.01744419311884729</v>
      </c>
    </row>
    <row r="66" spans="1:13" ht="12.75">
      <c r="A66" s="2" t="s">
        <v>96</v>
      </c>
      <c r="B66" s="12">
        <f>'2015-16'!L66</f>
        <v>735.23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690.23</v>
      </c>
      <c r="M66" s="56">
        <f t="shared" si="19"/>
        <v>-0.06120533710539559</v>
      </c>
    </row>
    <row r="67" spans="1:13" ht="12.75">
      <c r="A67" s="2" t="s">
        <v>47</v>
      </c>
      <c r="B67" s="12">
        <f>'2015-16'!L67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'2015-16'!L68</f>
        <v>1027.097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1024.097</v>
      </c>
      <c r="M68" s="56">
        <f t="shared" si="19"/>
        <v>-0.0029208536292093155</v>
      </c>
    </row>
    <row r="69" spans="1:13" ht="12.75">
      <c r="A69" s="2" t="s">
        <v>105</v>
      </c>
      <c r="B69" s="12">
        <f>'2015-16'!L69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'2015-16'!L70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2457.7709999999997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2270.7709999999997</v>
      </c>
      <c r="M72" s="55">
        <f aca="true" t="shared" si="21" ref="M72:M84">+(L72-B72)/B72</f>
        <v>-0.07608520077745243</v>
      </c>
    </row>
    <row r="73" spans="1:13" ht="12.75">
      <c r="A73" s="21" t="s">
        <v>86</v>
      </c>
      <c r="B73" s="12">
        <f>'2015-16'!L73</f>
        <v>-2631.2999999999997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-2664.2999999999997</v>
      </c>
      <c r="M73" s="56">
        <f t="shared" si="21"/>
        <v>0.012541329380914379</v>
      </c>
    </row>
    <row r="74" spans="1:13" ht="12.75">
      <c r="A74" s="21" t="s">
        <v>87</v>
      </c>
      <c r="B74" s="12">
        <f>'2015-16'!L74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-4100.576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-4280.576</v>
      </c>
      <c r="M75" s="56">
        <f t="shared" si="21"/>
        <v>0.04389627213347588</v>
      </c>
    </row>
    <row r="76" spans="1:13" ht="12.75">
      <c r="A76" s="21" t="s">
        <v>21</v>
      </c>
      <c r="B76" s="12">
        <f>'2015-16'!L76</f>
        <v>3471.131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3483.131</v>
      </c>
      <c r="M76" s="56">
        <f t="shared" si="21"/>
        <v>0.003457086465477679</v>
      </c>
    </row>
    <row r="77" spans="1:13" ht="12.75">
      <c r="A77" s="21" t="s">
        <v>88</v>
      </c>
      <c r="B77" s="12">
        <f>'2015-16'!L77</f>
        <v>-1161.9979999999998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-1296.9979999999998</v>
      </c>
      <c r="M77" s="56">
        <f t="shared" si="21"/>
        <v>0.11617920168537298</v>
      </c>
    </row>
    <row r="78" spans="1:13" ht="12.75">
      <c r="A78" s="21" t="s">
        <v>66</v>
      </c>
      <c r="B78" s="12">
        <f>'2015-16'!L78</f>
        <v>-130.942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-148.942</v>
      </c>
      <c r="M78" s="56">
        <f t="shared" si="21"/>
        <v>0.13746544271509523</v>
      </c>
    </row>
    <row r="79" spans="1:13" ht="12.75">
      <c r="A79" s="21" t="s">
        <v>22</v>
      </c>
      <c r="B79" s="12">
        <f>'2015-16'!L79</f>
        <v>3834.322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3836.322</v>
      </c>
      <c r="M79" s="56">
        <f t="shared" si="21"/>
        <v>0.0005216046018044389</v>
      </c>
    </row>
    <row r="80" spans="1:13" ht="12.75">
      <c r="A80" s="21" t="s">
        <v>65</v>
      </c>
      <c r="B80" s="12">
        <f>'2015-16'!L80</f>
        <v>-43.10800000000003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-1.1080000000000325</v>
      </c>
      <c r="M80" s="56">
        <f t="shared" si="21"/>
        <v>-0.9742971142247371</v>
      </c>
    </row>
    <row r="81" spans="1:13" ht="12.75">
      <c r="A81" s="21" t="s">
        <v>23</v>
      </c>
      <c r="B81" s="12">
        <f>'2015-16'!L81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2333.6690000000003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2333.6690000000003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1225.255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1348.255</v>
      </c>
      <c r="M84" s="56">
        <f t="shared" si="21"/>
        <v>0.10038726632415292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7362.676000000001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-143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-25</v>
      </c>
      <c r="L86" s="9">
        <f t="shared" si="23"/>
        <v>7155.6759999999995</v>
      </c>
      <c r="M86" s="55">
        <f aca="true" t="shared" si="24" ref="M86:M96">+(L86-B86)/B86</f>
        <v>-0.02811477783349448</v>
      </c>
    </row>
    <row r="87" spans="1:13" ht="12.75">
      <c r="A87" s="4" t="s">
        <v>55</v>
      </c>
      <c r="B87" s="12">
        <f>'2015-16'!L87</f>
        <v>1562.77</v>
      </c>
      <c r="C87" s="39"/>
      <c r="D87" s="15"/>
      <c r="E87" s="39">
        <v>2</v>
      </c>
      <c r="F87" s="15"/>
      <c r="G87" s="39">
        <f>-13+-99</f>
        <v>-112</v>
      </c>
      <c r="H87" s="15"/>
      <c r="I87" s="39"/>
      <c r="J87" s="15"/>
      <c r="K87" s="39"/>
      <c r="L87" s="12">
        <f aca="true" t="shared" si="25" ref="L87:L96">+B87+SUM(C87:K87)</f>
        <v>1452.77</v>
      </c>
      <c r="M87" s="56">
        <f t="shared" si="24"/>
        <v>-0.07038783698176955</v>
      </c>
    </row>
    <row r="88" spans="1:13" ht="12.75">
      <c r="A88" s="4" t="s">
        <v>72</v>
      </c>
      <c r="B88" s="12">
        <f>'2015-16'!L88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'2015-16'!L89</f>
        <v>212.068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209.068</v>
      </c>
      <c r="M89" s="56">
        <f t="shared" si="24"/>
        <v>-0.014146405869815342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'2015-16'!L93</f>
        <v>1752.5049999999999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1683.5049999999999</v>
      </c>
      <c r="M93" s="56">
        <f t="shared" si="24"/>
        <v>-0.03937221291808012</v>
      </c>
    </row>
    <row r="94" spans="1:13" ht="12.75">
      <c r="A94" s="4" t="s">
        <v>90</v>
      </c>
      <c r="B94" s="12">
        <f>'2015-16'!L94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6">
        <f>'2015-16'!L95</f>
        <v>2673.6610000000005</v>
      </c>
      <c r="C95" s="41"/>
      <c r="D95" s="17"/>
      <c r="E95" s="41"/>
      <c r="F95" s="17"/>
      <c r="G95" s="41"/>
      <c r="H95" s="17"/>
      <c r="I95" s="39"/>
      <c r="J95" s="15"/>
      <c r="K95" s="39">
        <v>-25</v>
      </c>
      <c r="L95" s="12">
        <f t="shared" si="25"/>
        <v>2648.6610000000005</v>
      </c>
      <c r="M95" s="56">
        <f t="shared" si="24"/>
        <v>-0.00935047487321691</v>
      </c>
    </row>
    <row r="96" spans="1:13" ht="12.75">
      <c r="A96" s="3" t="s">
        <v>99</v>
      </c>
      <c r="B96" s="16">
        <f>'2015-16'!L96</f>
        <v>387.553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271.18600000000004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340.18600000000004</v>
      </c>
      <c r="M98" s="55">
        <f>+(L98-B98)/B98</f>
        <v>0.2544379134616093</v>
      </c>
    </row>
    <row r="99" spans="1:13" ht="12.75">
      <c r="A99" s="20" t="s">
        <v>14</v>
      </c>
      <c r="B99" s="12">
        <f>'2015-16'!L99</f>
        <v>-28.736999999999995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-36.736999999999995</v>
      </c>
      <c r="M99" s="56">
        <f>+(L99-B99)/B99</f>
        <v>0.2783867487907576</v>
      </c>
    </row>
    <row r="100" spans="1:13" ht="12.75">
      <c r="A100" s="20" t="s">
        <v>52</v>
      </c>
      <c r="B100" s="12">
        <f>'2015-16'!L100</f>
        <v>430.939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421.939</v>
      </c>
      <c r="M100" s="56">
        <f>+(L100-B100)/B100</f>
        <v>-0.020884626362431803</v>
      </c>
    </row>
    <row r="101" spans="1:13" ht="12.75">
      <c r="A101" s="20" t="s">
        <v>15</v>
      </c>
      <c r="B101" s="12">
        <f>'2015-16'!L101</f>
        <v>-131.016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-45.01599999999999</v>
      </c>
      <c r="M101" s="56">
        <f>+(L101-B101)/B101</f>
        <v>-0.6564083776027356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18258.814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-482</v>
      </c>
      <c r="H103" s="63">
        <f t="shared" si="27"/>
        <v>-36</v>
      </c>
      <c r="I103" s="60">
        <f t="shared" si="27"/>
        <v>-548</v>
      </c>
      <c r="J103" s="63">
        <f t="shared" si="27"/>
        <v>-10</v>
      </c>
      <c r="K103" s="60">
        <f t="shared" si="27"/>
        <v>-324</v>
      </c>
      <c r="L103" s="64">
        <f t="shared" si="27"/>
        <v>16822.814</v>
      </c>
      <c r="M103" s="61">
        <f>+(L103-B103)/B103</f>
        <v>-0.0786469482629047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-1608.9340000000004</v>
      </c>
      <c r="C106" s="24">
        <v>-583.868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-2192.8020000000006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4617.638</v>
      </c>
      <c r="C108" s="24">
        <v>1548.466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6166.103999999999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21267.517999999996</v>
      </c>
      <c r="C110" s="47">
        <f t="shared" si="28"/>
        <v>964.5979999999998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-482</v>
      </c>
      <c r="H110" s="47">
        <f t="shared" si="28"/>
        <v>-36</v>
      </c>
      <c r="I110" s="47">
        <f t="shared" si="28"/>
        <v>-548</v>
      </c>
      <c r="J110" s="47">
        <f t="shared" si="28"/>
        <v>-10</v>
      </c>
      <c r="K110" s="47">
        <f t="shared" si="28"/>
        <v>-324</v>
      </c>
      <c r="L110" s="47">
        <f t="shared" si="28"/>
        <v>20796.115999999998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21267.517999999996</v>
      </c>
      <c r="C115" s="47">
        <f>+SUM(C110,C113)</f>
        <v>964.5979999999998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-482</v>
      </c>
      <c r="H115" s="47">
        <f t="shared" si="29"/>
        <v>-36</v>
      </c>
      <c r="I115" s="47">
        <f t="shared" si="29"/>
        <v>-548</v>
      </c>
      <c r="J115" s="47">
        <f t="shared" si="29"/>
        <v>-10</v>
      </c>
      <c r="K115" s="47">
        <f t="shared" si="29"/>
        <v>-324</v>
      </c>
      <c r="L115" s="47">
        <f t="shared" si="29"/>
        <v>20796.115999999998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-21267.951</v>
      </c>
      <c r="C118" s="47">
        <f>+SUM(C119:C123)</f>
        <v>471.40200000000004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-20796.549</v>
      </c>
      <c r="M118" s="37"/>
    </row>
    <row r="119" spans="1:13" ht="12.75" hidden="1" outlineLevel="1">
      <c r="A119" s="76" t="s">
        <v>108</v>
      </c>
      <c r="B119" s="38">
        <f>'2015-16'!L119</f>
        <v>-4433</v>
      </c>
      <c r="C119" s="24">
        <v>751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-3682</v>
      </c>
      <c r="M119" s="37"/>
    </row>
    <row r="120" spans="1:13" ht="12.75" hidden="1" outlineLevel="1">
      <c r="A120" s="76" t="s">
        <v>109</v>
      </c>
      <c r="B120" s="38">
        <f>'2015-16'!L120</f>
        <v>-5299.277</v>
      </c>
      <c r="C120" s="24">
        <v>-105.987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-5405.264</v>
      </c>
      <c r="M120" s="37"/>
    </row>
    <row r="121" spans="1:13" ht="12.75" hidden="1" outlineLevel="1">
      <c r="A121" s="80" t="s">
        <v>110</v>
      </c>
      <c r="B121" s="38">
        <f>'2015-16'!L121</f>
        <v>-11689.846</v>
      </c>
      <c r="C121" s="24">
        <v>-173.611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-11863.457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-0.4330000000045402</v>
      </c>
      <c r="C125" s="24">
        <f t="shared" si="31"/>
        <v>1436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-482</v>
      </c>
      <c r="H125" s="24">
        <f t="shared" si="31"/>
        <v>-36</v>
      </c>
      <c r="I125" s="24">
        <f t="shared" si="31"/>
        <v>-548</v>
      </c>
      <c r="J125" s="24">
        <f t="shared" si="31"/>
        <v>-10</v>
      </c>
      <c r="K125" s="24">
        <f t="shared" si="31"/>
        <v>-324</v>
      </c>
      <c r="L125" s="24">
        <f t="shared" si="31"/>
        <v>-0.4330000000009022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9" max="12" man="1"/>
    <brk id="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0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1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-288.97400000000016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-200</v>
      </c>
      <c r="J5" s="26">
        <f t="shared" si="0"/>
        <v>-9</v>
      </c>
      <c r="K5" s="30">
        <f t="shared" si="0"/>
        <v>0</v>
      </c>
      <c r="L5" s="25">
        <f>+L7+L14+L20</f>
        <v>-497.97400000000016</v>
      </c>
      <c r="M5" s="53">
        <f>+(L5-B5)/B5</f>
        <v>0.7232484583388121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1563.1580000000001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1554.1580000000001</v>
      </c>
      <c r="M7" s="55">
        <f aca="true" t="shared" si="2" ref="M7:M12">+(L7-B7)/B7</f>
        <v>-0.005757575369860244</v>
      </c>
    </row>
    <row r="8" spans="1:13" ht="12.75">
      <c r="A8" s="2" t="s">
        <v>43</v>
      </c>
      <c r="B8" s="12">
        <f>'2016-17'!L8</f>
        <v>-7.168000000000001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-16.168</v>
      </c>
      <c r="M8" s="56">
        <f t="shared" si="2"/>
        <v>1.2555803571428568</v>
      </c>
    </row>
    <row r="9" spans="1:13" ht="12.75">
      <c r="A9" s="2" t="s">
        <v>44</v>
      </c>
      <c r="B9" s="12">
        <f>'2016-17'!L9</f>
        <v>81.215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81.215</v>
      </c>
      <c r="M9" s="56">
        <f t="shared" si="2"/>
        <v>0</v>
      </c>
    </row>
    <row r="10" spans="1:13" ht="12.75">
      <c r="A10" s="2" t="s">
        <v>68</v>
      </c>
      <c r="B10" s="12">
        <f>'2016-17'!L10</f>
        <v>517.817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0</v>
      </c>
    </row>
    <row r="11" spans="1:13" ht="12.75">
      <c r="A11" s="2" t="s">
        <v>45</v>
      </c>
      <c r="B11" s="12">
        <f>'2016-17'!L11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'2016-17'!L12</f>
        <v>999.4670000000001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999.4670000000001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-5430.862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</v>
      </c>
    </row>
    <row r="15" spans="1:13" ht="12.75">
      <c r="A15" s="4" t="s">
        <v>62</v>
      </c>
      <c r="B15" s="12">
        <f>'2016-17'!L15</f>
        <v>-6691.113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-6691.113</v>
      </c>
      <c r="M15" s="56">
        <f>+(L15-B15)/B15</f>
        <v>0</v>
      </c>
    </row>
    <row r="16" spans="1:13" ht="12.75">
      <c r="A16" s="4" t="s">
        <v>63</v>
      </c>
      <c r="B16" s="12">
        <f>'2016-17'!L16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'2016-17'!L17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'2016-17'!L18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3578.7299999999996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3378.7299999999996</v>
      </c>
      <c r="M20" s="55">
        <f>+(L20-B20)/B20</f>
        <v>-0.055885747178468344</v>
      </c>
    </row>
    <row r="21" spans="1:13" ht="12.75">
      <c r="A21" s="3" t="s">
        <v>17</v>
      </c>
      <c r="B21" s="12">
        <f>'2016-17'!L21</f>
        <v>638.0350000000001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638.0350000000001</v>
      </c>
      <c r="M21" s="56">
        <f>+(L21-B21)/B21</f>
        <v>0</v>
      </c>
    </row>
    <row r="22" spans="1:13" ht="12.75">
      <c r="A22" s="3" t="s">
        <v>18</v>
      </c>
      <c r="B22" s="12">
        <f>'2016-17'!L22</f>
        <v>3746.107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3746.107</v>
      </c>
      <c r="M22" s="56">
        <f>+(L22-B22)/B22</f>
        <v>0</v>
      </c>
    </row>
    <row r="23" spans="1:13" ht="12.75">
      <c r="A23" s="3" t="s">
        <v>106</v>
      </c>
      <c r="B23" s="14">
        <f>'2016-17'!L23</f>
        <v>-805.412</v>
      </c>
      <c r="C23" s="33"/>
      <c r="D23" s="10"/>
      <c r="E23" s="33"/>
      <c r="F23" s="10"/>
      <c r="G23" s="39"/>
      <c r="H23" s="10"/>
      <c r="I23" s="39">
        <v>-200</v>
      </c>
      <c r="J23" s="10"/>
      <c r="K23" s="33"/>
      <c r="L23" s="12">
        <f>+B23+SUM(C23:K23)</f>
        <v>-1005.412</v>
      </c>
      <c r="M23" s="56">
        <f>+(L23-B23)/B23</f>
        <v>0.2483201144259087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4641.522999999999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4378.522999999999</v>
      </c>
      <c r="M25" s="53">
        <f>+(L25-B25)/B25</f>
        <v>-0.056662436015075236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194.52299999999997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'2016-17'!L32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782.889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787.889</v>
      </c>
      <c r="M34" s="55">
        <f aca="true" t="shared" si="9" ref="M34:M39">+(L34-B34)/B34</f>
        <v>0.006386601421146548</v>
      </c>
    </row>
    <row r="35" spans="1:13" ht="12.75">
      <c r="A35" s="99" t="s">
        <v>94</v>
      </c>
      <c r="B35" s="12">
        <f>'2016-17'!L35</f>
        <v>-65.525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-65.525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54.007999999999996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54.007999999999996</v>
      </c>
      <c r="M38" s="56">
        <f t="shared" si="9"/>
        <v>0</v>
      </c>
    </row>
    <row r="39" spans="1:13" ht="12.75">
      <c r="A39" s="3" t="s">
        <v>77</v>
      </c>
      <c r="B39" s="12">
        <f>'2016-17'!L39</f>
        <v>499.72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504.72</v>
      </c>
      <c r="M39" s="56">
        <f t="shared" si="9"/>
        <v>0.010005603137757144</v>
      </c>
    </row>
    <row r="40" spans="1:14" ht="12.75">
      <c r="A40" s="20"/>
      <c r="B40" s="102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3427.4069999999997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3159.4069999999997</v>
      </c>
      <c r="M41" s="55">
        <f aca="true" t="shared" si="11" ref="M41:M46">+(L41-B41)/B41</f>
        <v>-0.07819322304004164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-189.494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-309.494</v>
      </c>
      <c r="M43" s="56">
        <f t="shared" si="11"/>
        <v>0.6332654332063286</v>
      </c>
    </row>
    <row r="44" spans="1:13" ht="12.75">
      <c r="A44" s="3" t="s">
        <v>19</v>
      </c>
      <c r="B44" s="12">
        <f>'2016-17'!L44</f>
        <v>1174.7269999999999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1136.7269999999999</v>
      </c>
      <c r="M44" s="56">
        <f t="shared" si="11"/>
        <v>-0.032347941266353805</v>
      </c>
    </row>
    <row r="45" spans="1:13" ht="12.75">
      <c r="A45" s="3" t="s">
        <v>53</v>
      </c>
      <c r="B45" s="12">
        <f>'2016-17'!L45</f>
        <v>2412.309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2302.309</v>
      </c>
      <c r="M45" s="56">
        <f t="shared" si="11"/>
        <v>-0.04559946507682058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239.33500000000004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239.33500000000004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99.62200000000001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99.62200000000001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-46.741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-46.741</v>
      </c>
      <c r="M51" s="56">
        <f t="shared" si="13"/>
        <v>0</v>
      </c>
    </row>
    <row r="52" spans="1:13" ht="12.75">
      <c r="A52" s="2" t="s">
        <v>38</v>
      </c>
      <c r="B52" s="12">
        <f>'2016-17'!L52</f>
        <v>117.90299999999999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117.90299999999999</v>
      </c>
      <c r="M52" s="56">
        <f t="shared" si="13"/>
        <v>0</v>
      </c>
    </row>
    <row r="53" spans="1:13" ht="12.75">
      <c r="A53" s="20" t="s">
        <v>83</v>
      </c>
      <c r="B53" s="12">
        <f>'2016-17'!L53</f>
        <v>68.51100000000002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68.51100000000002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'2016-17'!L57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'2016-17'!L58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'2016-17'!L59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'2016-17'!L60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'2016-17'!L61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12470.264999999998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-690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11930.265</v>
      </c>
      <c r="M63" s="53">
        <f>+(L63-B63)/B63</f>
        <v>-0.043303009198280736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2703.6319999999996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690.23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690.23</v>
      </c>
      <c r="M66" s="56">
        <f t="shared" si="19"/>
        <v>0</v>
      </c>
    </row>
    <row r="67" spans="1:13" ht="12.75">
      <c r="A67" s="2" t="s">
        <v>47</v>
      </c>
      <c r="B67" s="12">
        <f>'2016-17'!L67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'2016-17'!L68</f>
        <v>1024.097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1024.097</v>
      </c>
      <c r="M68" s="56">
        <f t="shared" si="19"/>
        <v>0</v>
      </c>
    </row>
    <row r="69" spans="1:13" ht="12.75">
      <c r="A69" s="2" t="s">
        <v>105</v>
      </c>
      <c r="B69" s="12">
        <f>'2016-17'!L69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'2016-17'!L70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2270.7709999999997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1880.771</v>
      </c>
      <c r="M72" s="55">
        <f aca="true" t="shared" si="21" ref="M72:M84">+(L72-B72)/B72</f>
        <v>-0.17174783366530566</v>
      </c>
    </row>
    <row r="73" spans="1:13" ht="12.75">
      <c r="A73" s="21" t="s">
        <v>86</v>
      </c>
      <c r="B73" s="12">
        <f>'2016-17'!L73</f>
        <v>-2664.2999999999997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-2664.2999999999997</v>
      </c>
      <c r="M73" s="56">
        <f t="shared" si="21"/>
        <v>0</v>
      </c>
    </row>
    <row r="74" spans="1:13" ht="12.75">
      <c r="A74" s="21" t="s">
        <v>87</v>
      </c>
      <c r="B74" s="12">
        <f>'2016-17'!L74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-4280.576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-4690.576</v>
      </c>
      <c r="M75" s="56">
        <f t="shared" si="21"/>
        <v>0.09578150230249387</v>
      </c>
    </row>
    <row r="76" spans="1:13" ht="12.75">
      <c r="A76" s="21" t="s">
        <v>21</v>
      </c>
      <c r="B76" s="12">
        <f>'2016-17'!L76</f>
        <v>3483.131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3467.131</v>
      </c>
      <c r="M76" s="56">
        <f t="shared" si="21"/>
        <v>-0.004593568257983981</v>
      </c>
    </row>
    <row r="77" spans="1:13" ht="12.75">
      <c r="A77" s="21" t="s">
        <v>88</v>
      </c>
      <c r="B77" s="12">
        <f>'2016-17'!L77</f>
        <v>-1296.9979999999998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-1296.9979999999998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-148.942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-135.942</v>
      </c>
      <c r="M78" s="56">
        <f t="shared" si="21"/>
        <v>-0.08728229780720011</v>
      </c>
    </row>
    <row r="79" spans="1:13" ht="12.75">
      <c r="A79" s="21" t="s">
        <v>22</v>
      </c>
      <c r="B79" s="12">
        <f>'2016-17'!L79</f>
        <v>3836.322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3838.322</v>
      </c>
      <c r="M79" s="56">
        <f t="shared" si="21"/>
        <v>0.0005213326722835049</v>
      </c>
    </row>
    <row r="80" spans="1:13" ht="12.75">
      <c r="A80" s="21" t="s">
        <v>65</v>
      </c>
      <c r="B80" s="12">
        <f>'2016-17'!L80</f>
        <v>-1.1080000000000325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41.89199999999997</v>
      </c>
      <c r="M80" s="56">
        <f t="shared" si="21"/>
        <v>-38.80866425992666</v>
      </c>
    </row>
    <row r="81" spans="1:13" ht="12.75">
      <c r="A81" s="21" t="s">
        <v>23</v>
      </c>
      <c r="B81" s="12">
        <f>'2016-17'!L81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2333.6690000000003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2183.6690000000003</v>
      </c>
      <c r="M83" s="56">
        <f t="shared" si="21"/>
        <v>-0.06427646765672423</v>
      </c>
    </row>
    <row r="84" spans="1:13" ht="12.75" customHeight="1">
      <c r="A84" s="21" t="s">
        <v>25</v>
      </c>
      <c r="B84" s="12">
        <f>'2016-17'!L84</f>
        <v>1348.255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1476.255</v>
      </c>
      <c r="M84" s="56">
        <f t="shared" si="21"/>
        <v>0.09493753036332148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7155.6759999999995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-150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7005.676</v>
      </c>
      <c r="M86" s="55">
        <f aca="true" t="shared" si="24" ref="M86:M96">+(L86-B86)/B86</f>
        <v>-0.02096238007422347</v>
      </c>
    </row>
    <row r="87" spans="1:13" ht="12.75">
      <c r="A87" s="4" t="s">
        <v>55</v>
      </c>
      <c r="B87" s="12">
        <f>'2016-17'!L87</f>
        <v>1452.77</v>
      </c>
      <c r="C87" s="39"/>
      <c r="D87" s="15"/>
      <c r="E87" s="39"/>
      <c r="F87" s="15"/>
      <c r="G87" s="39">
        <v>-150</v>
      </c>
      <c r="H87" s="15"/>
      <c r="I87" s="39"/>
      <c r="J87" s="15"/>
      <c r="K87" s="39"/>
      <c r="L87" s="12">
        <f aca="true" t="shared" si="25" ref="L87:L96">+B87+SUM(C87:K87)</f>
        <v>1302.77</v>
      </c>
      <c r="M87" s="56">
        <f t="shared" si="24"/>
        <v>-0.10325103078945738</v>
      </c>
    </row>
    <row r="88" spans="1:13" ht="12.75">
      <c r="A88" s="4" t="s">
        <v>72</v>
      </c>
      <c r="B88" s="12">
        <f>'2016-17'!L88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'2016-17'!L89</f>
        <v>209.068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209.068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'2016-17'!L93</f>
        <v>1683.5049999999999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1683.5049999999999</v>
      </c>
      <c r="M93" s="56">
        <f t="shared" si="24"/>
        <v>0</v>
      </c>
    </row>
    <row r="94" spans="1:13" ht="12.75">
      <c r="A94" s="4" t="s">
        <v>90</v>
      </c>
      <c r="B94" s="12">
        <f>'2016-17'!L94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2">
        <f>'2016-17'!L95</f>
        <v>2648.6610000000005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2648.6610000000005</v>
      </c>
      <c r="M95" s="56">
        <f t="shared" si="24"/>
        <v>0</v>
      </c>
    </row>
    <row r="96" spans="1:13" ht="12.75">
      <c r="A96" s="3" t="s">
        <v>99</v>
      </c>
      <c r="B96" s="12">
        <f>'2016-17'!L96</f>
        <v>387.553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340.18600000000004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340.18600000000004</v>
      </c>
      <c r="M98" s="55">
        <f>+(L98-B98)/B98</f>
        <v>0</v>
      </c>
    </row>
    <row r="99" spans="1:13" ht="12.75">
      <c r="A99" s="20" t="s">
        <v>14</v>
      </c>
      <c r="B99" s="12">
        <f>'2016-17'!L99</f>
        <v>-36.736999999999995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-36.736999999999995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421.939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421.939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-45.01599999999999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-45.01599999999999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16822.814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-810</v>
      </c>
      <c r="H103" s="63">
        <f t="shared" si="27"/>
        <v>-38</v>
      </c>
      <c r="I103" s="60">
        <f t="shared" si="27"/>
        <v>-216</v>
      </c>
      <c r="J103" s="63">
        <f t="shared" si="27"/>
        <v>-9</v>
      </c>
      <c r="K103" s="60">
        <f t="shared" si="27"/>
        <v>0</v>
      </c>
      <c r="L103" s="64">
        <f t="shared" si="27"/>
        <v>15810.813999999998</v>
      </c>
      <c r="M103" s="61">
        <f>+(L103-B103)/B103</f>
        <v>-0.06015640427338732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-2192.8020000000006</v>
      </c>
      <c r="C106" s="24">
        <v>-534.495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-2727.2970000000005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6166.103999999999</v>
      </c>
      <c r="C108" s="24">
        <v>1088.825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7254.928999999999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20796.115999999998</v>
      </c>
      <c r="C110" s="47">
        <f t="shared" si="28"/>
        <v>554.33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-810</v>
      </c>
      <c r="H110" s="47">
        <f t="shared" si="28"/>
        <v>-38</v>
      </c>
      <c r="I110" s="47">
        <f t="shared" si="28"/>
        <v>-216</v>
      </c>
      <c r="J110" s="47">
        <f t="shared" si="28"/>
        <v>-9</v>
      </c>
      <c r="K110" s="47">
        <f t="shared" si="28"/>
        <v>0</v>
      </c>
      <c r="L110" s="47">
        <f t="shared" si="28"/>
        <v>20338.445999999996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20796.115999999998</v>
      </c>
      <c r="C115" s="47">
        <f>+SUM(C110,C113)</f>
        <v>554.33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-810</v>
      </c>
      <c r="H115" s="47">
        <f t="shared" si="29"/>
        <v>-38</v>
      </c>
      <c r="I115" s="47">
        <f t="shared" si="29"/>
        <v>-216</v>
      </c>
      <c r="J115" s="47">
        <f t="shared" si="29"/>
        <v>-9</v>
      </c>
      <c r="K115" s="47">
        <f t="shared" si="29"/>
        <v>0</v>
      </c>
      <c r="L115" s="47">
        <f t="shared" si="29"/>
        <v>20338.445999999996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-20796.549</v>
      </c>
      <c r="C118" s="47">
        <f>+SUM(C119:C123)</f>
        <v>457.67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-20338.879</v>
      </c>
      <c r="M118" s="37"/>
    </row>
    <row r="119" spans="1:13" ht="12.75" hidden="1" outlineLevel="1">
      <c r="A119" s="76" t="s">
        <v>108</v>
      </c>
      <c r="B119" s="38">
        <f>'2016-17'!L119</f>
        <v>-3682</v>
      </c>
      <c r="C119" s="24">
        <v>742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-2940</v>
      </c>
      <c r="M119" s="37"/>
    </row>
    <row r="120" spans="1:13" ht="12.75" hidden="1" outlineLevel="1">
      <c r="A120" s="76" t="s">
        <v>109</v>
      </c>
      <c r="B120" s="38">
        <f>'2016-17'!L120</f>
        <v>-5405.264</v>
      </c>
      <c r="C120" s="24">
        <v>-108.106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-5513.37</v>
      </c>
      <c r="M120" s="37"/>
    </row>
    <row r="121" spans="1:13" ht="12.75" hidden="1" outlineLevel="1">
      <c r="A121" s="80" t="s">
        <v>110</v>
      </c>
      <c r="B121" s="38">
        <f>'2016-17'!L121</f>
        <v>-11863.457</v>
      </c>
      <c r="C121" s="24">
        <v>-176.224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-12039.681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1012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-810</v>
      </c>
      <c r="H125" s="24">
        <f t="shared" si="31"/>
        <v>-38</v>
      </c>
      <c r="I125" s="24">
        <f t="shared" si="31"/>
        <v>-216</v>
      </c>
      <c r="J125" s="24">
        <f t="shared" si="31"/>
        <v>-9</v>
      </c>
      <c r="K125" s="24">
        <f t="shared" si="31"/>
        <v>0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Report - Appendix 2 (2016-17)</dc:title>
  <dc:subject/>
  <dc:creator>Oxford City Council</dc:creator>
  <cp:keywords>Council meetings;Government, politics and public administration; Local government; Decision making; Council meetings;</cp:keywords>
  <dc:description/>
  <cp:lastModifiedBy>Metcalfe, Mathew - Oxford City Council</cp:lastModifiedBy>
  <cp:lastPrinted>2014-02-04T13:14:27Z</cp:lastPrinted>
  <dcterms:created xsi:type="dcterms:W3CDTF">2010-08-23T10:49:01Z</dcterms:created>
  <dcterms:modified xsi:type="dcterms:W3CDTF">2014-02-09T11:25:33Z</dcterms:modified>
  <cp:category/>
  <cp:version/>
  <cp:contentType/>
  <cp:contentStatus/>
</cp:coreProperties>
</file>